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atos_Usuario\A.USUARIO\A. A.Publicaciones\2020\Ejecución mensual\Enero\"/>
    </mc:Choice>
  </mc:AlternateContent>
  <bookViews>
    <workbookView xWindow="0" yWindow="0" windowWidth="28800" windowHeight="11400"/>
  </bookViews>
  <sheets>
    <sheet name="CUA3" sheetId="1" r:id="rId1"/>
  </sheets>
  <externalReferences>
    <externalReference r:id="rId2"/>
  </externalReferences>
  <definedNames>
    <definedName name="_xlnm.Print_Area" localSheetId="0">'CUA3'!$A$1:$L$29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1" i="1" l="1"/>
  <c r="K21" i="1"/>
  <c r="J21" i="1"/>
  <c r="I21" i="1"/>
  <c r="H21" i="1"/>
  <c r="G21" i="1"/>
  <c r="L20" i="1"/>
  <c r="K20" i="1"/>
  <c r="J20" i="1"/>
  <c r="I20" i="1"/>
  <c r="H20" i="1"/>
  <c r="G20" i="1"/>
  <c r="L19" i="1"/>
  <c r="K19" i="1"/>
  <c r="J19" i="1"/>
  <c r="I19" i="1"/>
  <c r="H19" i="1"/>
  <c r="G19" i="1"/>
  <c r="K18" i="1"/>
  <c r="F18" i="1"/>
  <c r="J18" i="1" s="1"/>
  <c r="E18" i="1"/>
  <c r="I18" i="1" s="1"/>
  <c r="D18" i="1"/>
  <c r="C18" i="1"/>
  <c r="D23" i="1"/>
  <c r="F16" i="1"/>
  <c r="D13" i="1"/>
  <c r="F12" i="1"/>
  <c r="E23" i="1"/>
  <c r="C23" i="1"/>
  <c r="E16" i="1"/>
  <c r="C13" i="1"/>
  <c r="E12" i="1"/>
  <c r="F25" i="1"/>
  <c r="D16" i="1"/>
  <c r="F15" i="1"/>
  <c r="D12" i="1"/>
  <c r="F11" i="1"/>
  <c r="C24" i="1"/>
  <c r="E25" i="1"/>
  <c r="C16" i="1"/>
  <c r="E15" i="1"/>
  <c r="C12" i="1"/>
  <c r="E11" i="1"/>
  <c r="F10" i="1"/>
  <c r="C10" i="1"/>
  <c r="D25" i="1"/>
  <c r="F24" i="1"/>
  <c r="D15" i="1"/>
  <c r="F14" i="1"/>
  <c r="D11" i="1"/>
  <c r="C14" i="1"/>
  <c r="C25" i="1"/>
  <c r="E24" i="1"/>
  <c r="C15" i="1"/>
  <c r="E14" i="1"/>
  <c r="C11" i="1"/>
  <c r="E10" i="1"/>
  <c r="D24" i="1"/>
  <c r="F23" i="1"/>
  <c r="D14" i="1"/>
  <c r="F13" i="1"/>
  <c r="D10" i="1"/>
  <c r="E13" i="1"/>
  <c r="K13" i="1" l="1"/>
  <c r="I13" i="1"/>
  <c r="D9" i="1"/>
  <c r="H10" i="1"/>
  <c r="L13" i="1"/>
  <c r="J13" i="1"/>
  <c r="H14" i="1"/>
  <c r="L23" i="1"/>
  <c r="F22" i="1"/>
  <c r="J23" i="1"/>
  <c r="H24" i="1"/>
  <c r="I10" i="1"/>
  <c r="K10" i="1"/>
  <c r="E9" i="1"/>
  <c r="G11" i="1"/>
  <c r="I14" i="1"/>
  <c r="K14" i="1"/>
  <c r="G15" i="1"/>
  <c r="I24" i="1"/>
  <c r="K24" i="1"/>
  <c r="G25" i="1"/>
  <c r="G14" i="1"/>
  <c r="H11" i="1"/>
  <c r="J14" i="1"/>
  <c r="L14" i="1"/>
  <c r="H15" i="1"/>
  <c r="J24" i="1"/>
  <c r="L24" i="1"/>
  <c r="H25" i="1"/>
  <c r="C9" i="1"/>
  <c r="G10" i="1"/>
  <c r="J10" i="1"/>
  <c r="L10" i="1"/>
  <c r="F9" i="1"/>
  <c r="K11" i="1"/>
  <c r="I11" i="1"/>
  <c r="G12" i="1"/>
  <c r="I15" i="1"/>
  <c r="K15" i="1"/>
  <c r="G16" i="1"/>
  <c r="I25" i="1"/>
  <c r="K25" i="1"/>
  <c r="G24" i="1"/>
  <c r="L11" i="1"/>
  <c r="J11" i="1"/>
  <c r="H12" i="1"/>
  <c r="L15" i="1"/>
  <c r="J15" i="1"/>
  <c r="H16" i="1"/>
  <c r="L25" i="1"/>
  <c r="J25" i="1"/>
  <c r="K12" i="1"/>
  <c r="I12" i="1"/>
  <c r="G13" i="1"/>
  <c r="K16" i="1"/>
  <c r="I16" i="1"/>
  <c r="C22" i="1"/>
  <c r="G22" i="1" s="1"/>
  <c r="G23" i="1"/>
  <c r="K23" i="1"/>
  <c r="E22" i="1"/>
  <c r="I23" i="1"/>
  <c r="L12" i="1"/>
  <c r="J12" i="1"/>
  <c r="H13" i="1"/>
  <c r="L16" i="1"/>
  <c r="J16" i="1"/>
  <c r="D22" i="1"/>
  <c r="H22" i="1" s="1"/>
  <c r="H23" i="1"/>
  <c r="C17" i="1"/>
  <c r="D17" i="1"/>
  <c r="H17" i="1" s="1"/>
  <c r="L18" i="1"/>
  <c r="G18" i="1"/>
  <c r="H18" i="1"/>
  <c r="G9" i="1" l="1"/>
  <c r="G26" i="1" s="1"/>
  <c r="G27" i="1" s="1"/>
  <c r="F26" i="1"/>
  <c r="L9" i="1"/>
  <c r="J9" i="1"/>
  <c r="L22" i="1"/>
  <c r="J22" i="1"/>
  <c r="F17" i="1"/>
  <c r="G17" i="1"/>
  <c r="C26" i="1"/>
  <c r="C27" i="1" s="1"/>
  <c r="E26" i="1"/>
  <c r="K9" i="1"/>
  <c r="I9" i="1"/>
  <c r="E17" i="1"/>
  <c r="K22" i="1"/>
  <c r="I22" i="1"/>
  <c r="D26" i="1"/>
  <c r="H9" i="1"/>
  <c r="L17" i="1" l="1"/>
  <c r="J17" i="1"/>
  <c r="L26" i="1"/>
  <c r="J26" i="1"/>
  <c r="F27" i="1"/>
  <c r="D27" i="1"/>
  <c r="H27" i="1" s="1"/>
  <c r="H26" i="1"/>
  <c r="K26" i="1"/>
  <c r="E27" i="1"/>
  <c r="I26" i="1"/>
  <c r="K17" i="1"/>
  <c r="I17" i="1"/>
  <c r="K27" i="1" l="1"/>
  <c r="I27" i="1"/>
  <c r="L27" i="1"/>
  <c r="J27" i="1"/>
</calcChain>
</file>

<file path=xl/sharedStrings.xml><?xml version="1.0" encoding="utf-8"?>
<sst xmlns="http://schemas.openxmlformats.org/spreadsheetml/2006/main" count="52" uniqueCount="50">
  <si>
    <t>Cuadro No. 3</t>
  </si>
  <si>
    <t>Ejecución del presupuesto de los Establecimientos Públicos del Orden Nacional</t>
  </si>
  <si>
    <t>Acumulada a enero de 2020</t>
  </si>
  <si>
    <t>Miles de millones de pesos corrientes</t>
  </si>
  <si>
    <t>Concepto</t>
  </si>
  <si>
    <t>Apropiación 
Vigente</t>
  </si>
  <si>
    <t>Compromiso</t>
  </si>
  <si>
    <t>Obligación</t>
  </si>
  <si>
    <t>Pago</t>
  </si>
  <si>
    <t>Apropiación sin 
comprometer</t>
  </si>
  <si>
    <t>Porcentaje de ejecución</t>
  </si>
  <si>
    <t>Vigente</t>
  </si>
  <si>
    <t>Comp./Apro.</t>
  </si>
  <si>
    <t>Oblig./Apro.</t>
  </si>
  <si>
    <t>Pago/Apro.</t>
  </si>
  <si>
    <t>Oblig./Comp.</t>
  </si>
  <si>
    <t>Pago/Oblig.</t>
  </si>
  <si>
    <t>(1)</t>
  </si>
  <si>
    <t>(2)</t>
  </si>
  <si>
    <t>(3)</t>
  </si>
  <si>
    <t>(4)</t>
  </si>
  <si>
    <t>(5)=(1-2)</t>
  </si>
  <si>
    <t>(6)=(2/1)</t>
  </si>
  <si>
    <t>(7)=(3/1)</t>
  </si>
  <si>
    <t>(8)=(4/1)</t>
  </si>
  <si>
    <t>(9)=(3/2)</t>
  </si>
  <si>
    <t>(10)=(4/3)</t>
  </si>
  <si>
    <t>I.</t>
  </si>
  <si>
    <t>FUNCIONAMIENTO</t>
  </si>
  <si>
    <t>Gastos de Personal</t>
  </si>
  <si>
    <t>Adquisiciones de Bienes y Servicios</t>
  </si>
  <si>
    <t>Transferencias</t>
  </si>
  <si>
    <t>Gastos de Comercialización y Producción</t>
  </si>
  <si>
    <t>Adquisición de Activos Financieros</t>
  </si>
  <si>
    <t>Disminución de Pasivos</t>
  </si>
  <si>
    <t>Gastos por Tributos, Multas, Sanciones 
 e Intereses de Mora</t>
  </si>
  <si>
    <t>II.</t>
  </si>
  <si>
    <t>SERVICIO DE LA DEUDA</t>
  </si>
  <si>
    <t>Servicio de la Deuda Pública Externa</t>
  </si>
  <si>
    <t>Principal</t>
  </si>
  <si>
    <t>Intereses</t>
  </si>
  <si>
    <t>Comisiones y Otros Gastos</t>
  </si>
  <si>
    <t>Servicio de la Deuda Pública Interna</t>
  </si>
  <si>
    <t>III.</t>
  </si>
  <si>
    <t>INVERSION</t>
  </si>
  <si>
    <t>IV.</t>
  </si>
  <si>
    <t>TOTAL (I + II + III)</t>
  </si>
  <si>
    <t>V.</t>
  </si>
  <si>
    <t>TOTAL SIN DEUDA (I + III)</t>
  </si>
  <si>
    <t>Fuente: Dirección General del Presupuesto Público Nacional- Subdirección de Análisis y Consolidación Presupuestal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</si>
</sst>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41" formatCode="_-* #,##0_-;\-* #,##0_-;_-* &quot;-&quot;_-;_-@_-"/>
    <numFmt numFmtId="43" formatCode="_-* #,##0.00_-;\-* #,##0.00_-;_-* &quot;-&quot;??_-;_-@_-"/>
    <numFmt numFmtId="164" formatCode="_(* #,##0.0_);_(* \(#,##0.0\);_(* &quot;-&quot;??_);_(@_)"/>
    <numFmt numFmtId="165" formatCode="_-* #,##0_-;\-* #,##0_-;_-* &quot;-&quot;??_-;_-@_-"/>
    <numFmt numFmtId="166" formatCode="_(* #,##0_);_(* \(#,##0\);_(* &quot;-&quot;??_);_(@_)"/>
    <numFmt numFmtId="167" formatCode="0_);\(0\)"/>
    <numFmt numFmtId="168" formatCode="_(* #,##0.00_);_(* \(#,##0.00\);_(* &quot;-&quot;??_);_(@_)"/>
    <numFmt numFmtId="169" formatCode="_ * #,##0.00_ ;_ * \-#,##0.00_ ;_ * &quot;-&quot;??_ ;_ @_ "/>
    <numFmt numFmtId="170" formatCode="_ * #,##0.0_ ;_ * \-#,##0.0_ ;_ * &quot;-&quot;??_ ;_ @_ "/>
    <numFmt numFmtId="171" formatCode="_-* #,##0.0_-;\-* #,##0.0_-;_-* &quot;-&quot;_-;_-@_-"/>
    <numFmt numFmtId="172" formatCode="[$-240A]d&quot; de &quot;mmmm&quot; de &quot;yyyy;@"/>
    <numFmt numFmtId="173" formatCode="0.000%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b/>
      <sz val="11.05"/>
      <color indexed="8"/>
      <name val="Arial"/>
      <family val="2"/>
    </font>
    <font>
      <b/>
      <sz val="11.25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/>
      <right style="thin">
        <color theme="4" tint="0.79998168889431442"/>
      </right>
      <top/>
      <bottom/>
      <diagonal/>
    </border>
    <border>
      <left/>
      <right/>
      <top/>
      <bottom style="thin">
        <color theme="4" tint="0.79998168889431442"/>
      </bottom>
      <diagonal/>
    </border>
    <border>
      <left/>
      <right style="thin">
        <color theme="4" tint="0.79998168889431442"/>
      </right>
      <top/>
      <bottom style="thin">
        <color theme="4" tint="0.79998168889431442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9" fontId="8" fillId="0" borderId="0" applyFont="0" applyFill="0" applyBorder="0" applyAlignment="0" applyProtection="0"/>
    <xf numFmtId="168" fontId="9" fillId="0" borderId="0" applyFont="0" applyFill="0" applyBorder="0" applyAlignment="0" applyProtection="0"/>
    <xf numFmtId="172" fontId="9" fillId="0" borderId="0"/>
  </cellStyleXfs>
  <cellXfs count="60">
    <xf numFmtId="0" fontId="0" fillId="0" borderId="0" xfId="0"/>
    <xf numFmtId="164" fontId="2" fillId="0" borderId="0" xfId="1" applyNumberFormat="1" applyFont="1" applyAlignment="1" applyProtection="1">
      <alignment horizontal="center"/>
    </xf>
    <xf numFmtId="0" fontId="3" fillId="0" borderId="0" xfId="0" applyFont="1"/>
    <xf numFmtId="165" fontId="3" fillId="0" borderId="0" xfId="1" applyNumberFormat="1" applyFont="1"/>
    <xf numFmtId="164" fontId="4" fillId="0" borderId="0" xfId="1" applyNumberFormat="1" applyFont="1" applyAlignment="1" applyProtection="1">
      <alignment horizontal="center"/>
    </xf>
    <xf numFmtId="164" fontId="4" fillId="0" borderId="0" xfId="1" applyNumberFormat="1" applyFont="1"/>
    <xf numFmtId="166" fontId="4" fillId="0" borderId="0" xfId="1" applyNumberFormat="1" applyFont="1"/>
    <xf numFmtId="43" fontId="4" fillId="0" borderId="0" xfId="1" applyFont="1"/>
    <xf numFmtId="167" fontId="5" fillId="0" borderId="0" xfId="1" applyNumberFormat="1" applyFont="1" applyBorder="1"/>
    <xf numFmtId="164" fontId="5" fillId="2" borderId="0" xfId="1" applyNumberFormat="1" applyFont="1" applyFill="1" applyBorder="1"/>
    <xf numFmtId="164" fontId="6" fillId="2" borderId="0" xfId="1" applyNumberFormat="1" applyFont="1" applyFill="1" applyBorder="1" applyAlignment="1" applyProtection="1">
      <alignment horizontal="left" vertical="top" wrapText="1"/>
    </xf>
    <xf numFmtId="166" fontId="6" fillId="2" borderId="0" xfId="4" applyNumberFormat="1" applyFont="1" applyFill="1" applyBorder="1" applyAlignment="1" applyProtection="1">
      <alignment horizontal="center" vertical="top" wrapText="1"/>
    </xf>
    <xf numFmtId="166" fontId="6" fillId="2" borderId="1" xfId="5" applyNumberFormat="1" applyFont="1" applyFill="1" applyBorder="1" applyAlignment="1" applyProtection="1">
      <alignment horizontal="center" vertical="top" wrapText="1"/>
    </xf>
    <xf numFmtId="164" fontId="6" fillId="2" borderId="2" xfId="1" applyNumberFormat="1" applyFont="1" applyFill="1" applyBorder="1" applyAlignment="1" applyProtection="1">
      <alignment horizontal="center" vertical="top"/>
    </xf>
    <xf numFmtId="170" fontId="6" fillId="2" borderId="0" xfId="6" applyNumberFormat="1" applyFont="1" applyFill="1" applyBorder="1" applyAlignment="1" applyProtection="1">
      <alignment horizontal="center"/>
    </xf>
    <xf numFmtId="164" fontId="6" fillId="2" borderId="0" xfId="1" applyNumberFormat="1" applyFont="1" applyFill="1" applyBorder="1" applyAlignment="1" applyProtection="1">
      <alignment horizontal="centerContinuous"/>
    </xf>
    <xf numFmtId="166" fontId="6" fillId="2" borderId="0" xfId="1" quotePrefix="1" applyNumberFormat="1" applyFont="1" applyFill="1" applyBorder="1" applyAlignment="1" applyProtection="1">
      <alignment horizontal="center"/>
    </xf>
    <xf numFmtId="166" fontId="6" fillId="2" borderId="0" xfId="1" quotePrefix="1" applyNumberFormat="1" applyFont="1" applyFill="1" applyBorder="1" applyAlignment="1" applyProtection="1">
      <alignment horizontal="center" vertical="center"/>
    </xf>
    <xf numFmtId="166" fontId="6" fillId="2" borderId="0" xfId="1" quotePrefix="1" applyNumberFormat="1" applyFont="1" applyFill="1" applyBorder="1" applyAlignment="1" applyProtection="1">
      <alignment horizontal="center" vertical="top"/>
    </xf>
    <xf numFmtId="166" fontId="6" fillId="2" borderId="1" xfId="1" applyNumberFormat="1" applyFont="1" applyFill="1" applyBorder="1" applyAlignment="1">
      <alignment horizontal="center"/>
    </xf>
    <xf numFmtId="170" fontId="6" fillId="2" borderId="0" xfId="6" quotePrefix="1" applyNumberFormat="1" applyFont="1" applyFill="1" applyBorder="1" applyAlignment="1">
      <alignment horizontal="center"/>
    </xf>
    <xf numFmtId="164" fontId="2" fillId="3" borderId="2" xfId="1" applyNumberFormat="1" applyFont="1" applyFill="1" applyBorder="1"/>
    <xf numFmtId="164" fontId="2" fillId="3" borderId="2" xfId="7" applyNumberFormat="1" applyFont="1" applyFill="1" applyBorder="1"/>
    <xf numFmtId="41" fontId="2" fillId="3" borderId="2" xfId="2" applyFont="1" applyFill="1" applyBorder="1"/>
    <xf numFmtId="41" fontId="2" fillId="3" borderId="3" xfId="2" applyFont="1" applyFill="1" applyBorder="1"/>
    <xf numFmtId="171" fontId="2" fillId="3" borderId="2" xfId="2" applyNumberFormat="1" applyFont="1" applyFill="1" applyBorder="1"/>
    <xf numFmtId="164" fontId="4" fillId="0" borderId="0" xfId="1" applyNumberFormat="1" applyFont="1" applyFill="1" applyBorder="1"/>
    <xf numFmtId="164" fontId="4" fillId="0" borderId="0" xfId="7" applyNumberFormat="1" applyFont="1" applyFill="1" applyBorder="1"/>
    <xf numFmtId="41" fontId="4" fillId="0" borderId="0" xfId="2" applyFont="1" applyFill="1" applyBorder="1"/>
    <xf numFmtId="41" fontId="4" fillId="0" borderId="1" xfId="2" applyFont="1" applyFill="1" applyBorder="1"/>
    <xf numFmtId="171" fontId="4" fillId="0" borderId="0" xfId="2" applyNumberFormat="1" applyFont="1" applyFill="1" applyBorder="1"/>
    <xf numFmtId="164" fontId="4" fillId="0" borderId="0" xfId="1" applyNumberFormat="1" applyFont="1" applyFill="1" applyBorder="1" applyAlignment="1">
      <alignment vertical="top" wrapText="1"/>
    </xf>
    <xf numFmtId="164" fontId="4" fillId="0" borderId="0" xfId="7" applyNumberFormat="1" applyFont="1" applyFill="1" applyBorder="1" applyAlignment="1">
      <alignment vertical="top" wrapText="1"/>
    </xf>
    <xf numFmtId="41" fontId="4" fillId="0" borderId="0" xfId="2" applyFont="1" applyFill="1" applyBorder="1" applyAlignment="1">
      <alignment vertical="top" wrapText="1"/>
    </xf>
    <xf numFmtId="41" fontId="4" fillId="0" borderId="1" xfId="2" applyFont="1" applyFill="1" applyBorder="1" applyAlignment="1">
      <alignment vertical="top" wrapText="1"/>
    </xf>
    <xf numFmtId="171" fontId="4" fillId="0" borderId="0" xfId="2" applyNumberFormat="1" applyFont="1" applyFill="1" applyBorder="1" applyAlignment="1">
      <alignment vertical="top" wrapText="1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center" vertical="top" wrapText="1"/>
    </xf>
    <xf numFmtId="164" fontId="2" fillId="0" borderId="0" xfId="1" applyNumberFormat="1" applyFont="1" applyFill="1" applyBorder="1"/>
    <xf numFmtId="164" fontId="2" fillId="0" borderId="0" xfId="7" applyNumberFormat="1" applyFont="1" applyFill="1" applyBorder="1"/>
    <xf numFmtId="41" fontId="2" fillId="0" borderId="0" xfId="2" applyFont="1" applyFill="1" applyBorder="1"/>
    <xf numFmtId="41" fontId="2" fillId="0" borderId="1" xfId="2" applyFont="1" applyFill="1" applyBorder="1"/>
    <xf numFmtId="171" fontId="2" fillId="0" borderId="0" xfId="2" applyNumberFormat="1" applyFont="1" applyFill="1" applyBorder="1"/>
    <xf numFmtId="164" fontId="4" fillId="0" borderId="0" xfId="7" applyNumberFormat="1" applyFont="1" applyFill="1" applyBorder="1" applyAlignment="1">
      <alignment horizontal="left" indent="1"/>
    </xf>
    <xf numFmtId="166" fontId="3" fillId="0" borderId="0" xfId="0" applyNumberFormat="1" applyFont="1"/>
    <xf numFmtId="164" fontId="6" fillId="2" borderId="2" xfId="1" applyNumberFormat="1" applyFont="1" applyFill="1" applyBorder="1"/>
    <xf numFmtId="41" fontId="6" fillId="2" borderId="2" xfId="2" applyFont="1" applyFill="1" applyBorder="1"/>
    <xf numFmtId="41" fontId="6" fillId="2" borderId="2" xfId="2" applyFont="1" applyFill="1" applyBorder="1" applyAlignment="1">
      <alignment vertical="center"/>
    </xf>
    <xf numFmtId="41" fontId="6" fillId="2" borderId="2" xfId="2" applyFont="1" applyFill="1" applyBorder="1" applyAlignment="1">
      <alignment vertical="top"/>
    </xf>
    <xf numFmtId="41" fontId="6" fillId="2" borderId="3" xfId="2" applyFont="1" applyFill="1" applyBorder="1"/>
    <xf numFmtId="171" fontId="6" fillId="2" borderId="2" xfId="2" applyNumberFormat="1" applyFont="1" applyFill="1" applyBorder="1"/>
    <xf numFmtId="164" fontId="6" fillId="2" borderId="0" xfId="1" applyNumberFormat="1" applyFont="1" applyFill="1" applyBorder="1"/>
    <xf numFmtId="41" fontId="6" fillId="2" borderId="0" xfId="2" applyFont="1" applyFill="1" applyBorder="1"/>
    <xf numFmtId="41" fontId="6" fillId="2" borderId="0" xfId="2" applyFont="1" applyFill="1" applyBorder="1" applyAlignment="1">
      <alignment vertical="center"/>
    </xf>
    <xf numFmtId="41" fontId="6" fillId="2" borderId="0" xfId="2" applyFont="1" applyFill="1" applyBorder="1" applyAlignment="1">
      <alignment vertical="top"/>
    </xf>
    <xf numFmtId="41" fontId="6" fillId="2" borderId="1" xfId="2" applyFont="1" applyFill="1" applyBorder="1"/>
    <xf numFmtId="171" fontId="6" fillId="2" borderId="0" xfId="2" applyNumberFormat="1" applyFont="1" applyFill="1" applyBorder="1"/>
    <xf numFmtId="172" fontId="4" fillId="0" borderId="0" xfId="8" applyNumberFormat="1" applyFont="1" applyFill="1" applyBorder="1" applyAlignment="1" applyProtection="1"/>
    <xf numFmtId="10" fontId="3" fillId="0" borderId="0" xfId="3" applyNumberFormat="1" applyFont="1"/>
    <xf numFmtId="173" fontId="3" fillId="0" borderId="0" xfId="3" applyNumberFormat="1" applyFont="1"/>
  </cellXfs>
  <cellStyles count="9">
    <cellStyle name="Millares" xfId="1" builtinId="3"/>
    <cellStyle name="Millares [0]" xfId="2" builtinId="6"/>
    <cellStyle name="Millares 2 4 2" xfId="7"/>
    <cellStyle name="Millares 4 3" xfId="4"/>
    <cellStyle name="Millares 7 2" xfId="5"/>
    <cellStyle name="Millares_CIFRAS PAGINA WEB 1995 - 2003" xfId="8"/>
    <cellStyle name="Millares_Plano ejecucion principales programas julio 13 - Despues de consejo de ministros" xfId="6"/>
    <cellStyle name="Normal" xfId="0" builtinId="0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uadros%20de%20ejecuci&#243;n%20ENERO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BASE FINAL"/>
      <sheetName val="CUA1.TD"/>
      <sheetName val="CUA1"/>
      <sheetName val="CUA2.TD"/>
      <sheetName val="CUA2"/>
      <sheetName val="CUA3.TD"/>
      <sheetName val="CUA3"/>
      <sheetName val="CUA4.TD"/>
      <sheetName val="CUA5.TD"/>
      <sheetName val="CUA4"/>
      <sheetName val="CUA5"/>
      <sheetName val="CUA6. TD"/>
      <sheetName val="CUA6"/>
      <sheetName val="TD.CUA7"/>
      <sheetName val="CUA7"/>
      <sheetName val="CUA8.TD"/>
      <sheetName val="CUA8"/>
      <sheetName val="CUA9.TD"/>
      <sheetName val="CUA9"/>
      <sheetName val="CUA10.TD"/>
      <sheetName val="CUA10"/>
    </sheetNames>
    <sheetDataSet>
      <sheetData sheetId="0"/>
      <sheetData sheetId="1"/>
      <sheetData sheetId="2"/>
      <sheetData sheetId="3"/>
      <sheetData sheetId="4"/>
      <sheetData sheetId="5"/>
      <sheetData sheetId="6">
        <row r="9">
          <cell r="A9" t="str">
            <v>Etiquetas de fila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tabColor theme="0"/>
    <pageSetUpPr fitToPage="1"/>
  </sheetPr>
  <dimension ref="A1:XFD35"/>
  <sheetViews>
    <sheetView showGridLines="0" tabSelected="1" topLeftCell="C1" workbookViewId="0">
      <selection activeCell="C35" sqref="A35:XFD1048576"/>
    </sheetView>
  </sheetViews>
  <sheetFormatPr baseColWidth="10" defaultColWidth="0" defaultRowHeight="11.25" customHeight="1" zeroHeight="1" x14ac:dyDescent="0.2"/>
  <cols>
    <col min="1" max="1" width="3.5703125" style="2" customWidth="1"/>
    <col min="2" max="2" width="29.85546875" style="2" customWidth="1"/>
    <col min="3" max="3" width="11.42578125" style="2" bestFit="1" customWidth="1"/>
    <col min="4" max="4" width="12" style="2" bestFit="1" customWidth="1"/>
    <col min="5" max="5" width="9.7109375" style="2" bestFit="1" customWidth="1"/>
    <col min="6" max="6" width="7.7109375" style="2" bestFit="1" customWidth="1"/>
    <col min="7" max="7" width="13.85546875" style="2" bestFit="1" customWidth="1"/>
    <col min="8" max="8" width="11.85546875" style="2" bestFit="1" customWidth="1"/>
    <col min="9" max="9" width="11.140625" style="2" bestFit="1" customWidth="1"/>
    <col min="10" max="10" width="10.5703125" style="2" bestFit="1" customWidth="1"/>
    <col min="11" max="11" width="12.28515625" style="2" bestFit="1" customWidth="1"/>
    <col min="12" max="12" width="11.5703125" style="2" bestFit="1" customWidth="1"/>
    <col min="13" max="13" width="11.42578125" style="2" customWidth="1"/>
    <col min="14" max="14" width="15.5703125" style="2" hidden="1"/>
    <col min="15" max="16381" width="11.42578125" style="2" hidden="1"/>
    <col min="16382" max="16382" width="19.5703125" style="2" hidden="1"/>
    <col min="16383" max="16384" width="6" style="2" hidden="1"/>
  </cols>
  <sheetData>
    <row r="1" spans="1:18" ht="12.75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N1" s="3"/>
    </row>
    <row r="2" spans="1:18" ht="9.75" customHeight="1" x14ac:dyDescent="0.2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8" ht="9.75" customHeight="1" x14ac:dyDescent="0.2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8" ht="9.75" customHeight="1" x14ac:dyDescent="0.2">
      <c r="A4" s="4" t="s">
        <v>3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spans="1:18" ht="8.25" customHeight="1" x14ac:dyDescent="0.2">
      <c r="A5" s="5"/>
      <c r="B5" s="6"/>
      <c r="C5" s="6"/>
      <c r="D5" s="6"/>
      <c r="E5" s="6"/>
      <c r="F5" s="6"/>
      <c r="G5" s="6"/>
      <c r="H5" s="7"/>
      <c r="I5" s="5"/>
      <c r="J5" s="5"/>
      <c r="K5" s="5"/>
      <c r="L5" s="8">
        <v>1000000000</v>
      </c>
    </row>
    <row r="6" spans="1:18" ht="12" customHeight="1" x14ac:dyDescent="0.2">
      <c r="A6" s="9"/>
      <c r="B6" s="10" t="s">
        <v>4</v>
      </c>
      <c r="C6" s="11" t="s">
        <v>5</v>
      </c>
      <c r="D6" s="11" t="s">
        <v>6</v>
      </c>
      <c r="E6" s="11" t="s">
        <v>7</v>
      </c>
      <c r="F6" s="11" t="s">
        <v>8</v>
      </c>
      <c r="G6" s="12" t="s">
        <v>9</v>
      </c>
      <c r="H6" s="13" t="s">
        <v>10</v>
      </c>
      <c r="I6" s="13"/>
      <c r="J6" s="13"/>
      <c r="K6" s="13"/>
      <c r="L6" s="13"/>
    </row>
    <row r="7" spans="1:18" ht="12" customHeight="1" x14ac:dyDescent="0.2">
      <c r="A7" s="9"/>
      <c r="B7" s="10"/>
      <c r="C7" s="11" t="s">
        <v>11</v>
      </c>
      <c r="D7" s="11"/>
      <c r="E7" s="11"/>
      <c r="F7" s="11"/>
      <c r="G7" s="12"/>
      <c r="H7" s="14" t="s">
        <v>12</v>
      </c>
      <c r="I7" s="14" t="s">
        <v>13</v>
      </c>
      <c r="J7" s="14" t="s">
        <v>14</v>
      </c>
      <c r="K7" s="14" t="s">
        <v>15</v>
      </c>
      <c r="L7" s="14" t="s">
        <v>16</v>
      </c>
    </row>
    <row r="8" spans="1:18" ht="12" customHeight="1" x14ac:dyDescent="0.2">
      <c r="A8" s="9"/>
      <c r="B8" s="15"/>
      <c r="C8" s="16" t="s">
        <v>17</v>
      </c>
      <c r="D8" s="17" t="s">
        <v>18</v>
      </c>
      <c r="E8" s="16" t="s">
        <v>19</v>
      </c>
      <c r="F8" s="18" t="s">
        <v>20</v>
      </c>
      <c r="G8" s="19" t="s">
        <v>21</v>
      </c>
      <c r="H8" s="20" t="s">
        <v>22</v>
      </c>
      <c r="I8" s="20" t="s">
        <v>23</v>
      </c>
      <c r="J8" s="20" t="s">
        <v>24</v>
      </c>
      <c r="K8" s="20" t="s">
        <v>25</v>
      </c>
      <c r="L8" s="20" t="s">
        <v>26</v>
      </c>
    </row>
    <row r="9" spans="1:18" ht="11.45" customHeight="1" x14ac:dyDescent="0.2">
      <c r="A9" s="21" t="s">
        <v>27</v>
      </c>
      <c r="B9" s="22" t="s">
        <v>28</v>
      </c>
      <c r="C9" s="23">
        <f>SUM(C10:C16)</f>
        <v>7354.1927726720005</v>
      </c>
      <c r="D9" s="23">
        <f>SUM(D10:D16)</f>
        <v>1808.7584750260899</v>
      </c>
      <c r="E9" s="23">
        <f>SUM(E10:E16)</f>
        <v>250.00314122938002</v>
      </c>
      <c r="F9" s="23">
        <f>SUM(F10:F16)</f>
        <v>202.74962260102998</v>
      </c>
      <c r="G9" s="24">
        <f>SUM(G10:G16)</f>
        <v>5545.4342976459111</v>
      </c>
      <c r="H9" s="25">
        <f t="shared" ref="H9:H24" si="0">IFERROR(IF(D9&gt;0,+D9/C9*100,0),0)</f>
        <v>24.59492878331109</v>
      </c>
      <c r="I9" s="25">
        <f t="shared" ref="I9:I24" si="1">IFERROR(IF(E9&gt;0,+E9/C9*100,0),0)</f>
        <v>3.3994640738598196</v>
      </c>
      <c r="J9" s="25">
        <f t="shared" ref="J9:J24" si="2">IFERROR(IF(F9&gt;0,+F9/C9*100,0),0)</f>
        <v>2.7569255915406869</v>
      </c>
      <c r="K9" s="25">
        <f t="shared" ref="K9:L24" si="3">IFERROR(IF(E9&gt;0,+E9/D9*100,0),0)</f>
        <v>13.821808974566045</v>
      </c>
      <c r="L9" s="25">
        <f t="shared" si="3"/>
        <v>81.098830040301564</v>
      </c>
    </row>
    <row r="10" spans="1:18" ht="11.25" customHeight="1" x14ac:dyDescent="0.2">
      <c r="A10" s="26"/>
      <c r="B10" s="27" t="s">
        <v>29</v>
      </c>
      <c r="C10" s="28">
        <f>+GETPIVOTDATA("Suma de Apropiacion Vigente",'[1]CUA3.TD'!$A$9,"Tipo","1Funcionamiento","Cuentas","A-Gastos de Personal")/1000000000</f>
        <v>1960.434733366</v>
      </c>
      <c r="D10" s="28">
        <f>+GETPIVOTDATA("Suma de Compromisos",'[1]CUA3.TD'!$A$9,"Tipo","1Funcionamiento","Cuentas","A-Gastos de Personal")/1000000000</f>
        <v>135.62371803460999</v>
      </c>
      <c r="E10" s="28">
        <f>+GETPIVOTDATA("Suma de Obligación",'[1]CUA3.TD'!$A$9,"Tipo","1Funcionamiento","Cuentas","A-Gastos de Personal")/1000000000</f>
        <v>109.77471220398002</v>
      </c>
      <c r="F10" s="28">
        <f>+GETPIVOTDATA("Suma de Pago",'[1]CUA3.TD'!$A$9,"Tipo","1Funcionamiento","Cuentas","A-Gastos de Personal")/1000000000</f>
        <v>106.16914124938002</v>
      </c>
      <c r="G10" s="29">
        <f t="shared" ref="G10:G16" si="4">(((+C10-D10)))</f>
        <v>1824.8110153313901</v>
      </c>
      <c r="H10" s="30">
        <f t="shared" si="0"/>
        <v>6.9180430098659125</v>
      </c>
      <c r="I10" s="30">
        <f t="shared" si="1"/>
        <v>5.5995086363064255</v>
      </c>
      <c r="J10" s="30">
        <f t="shared" si="2"/>
        <v>5.4155917278149426</v>
      </c>
      <c r="K10" s="30">
        <f t="shared" si="3"/>
        <v>80.940645039657795</v>
      </c>
      <c r="L10" s="30">
        <f t="shared" si="3"/>
        <v>96.715481296001727</v>
      </c>
    </row>
    <row r="11" spans="1:18" ht="11.25" customHeight="1" x14ac:dyDescent="0.2">
      <c r="A11" s="26"/>
      <c r="B11" s="27" t="s">
        <v>30</v>
      </c>
      <c r="C11" s="28">
        <f>+GETPIVOTDATA("Suma de Apropiacion Vigente",'[1]CUA3.TD'!$A$9,"Tipo","1Funcionamiento","Cuentas","B-Adquisiciones de Bienes y Servicios")/1000000000</f>
        <v>844.81922358600002</v>
      </c>
      <c r="D11" s="28">
        <f>+GETPIVOTDATA("Suma de Compromisos",'[1]CUA3.TD'!$A$9,"Tipo","1Funcionamiento","Cuentas","B-Adquisiciones de Bienes y Servicios")/1000000000</f>
        <v>366.32791294509991</v>
      </c>
      <c r="E11" s="28">
        <f>+GETPIVOTDATA("Suma de Obligación",'[1]CUA3.TD'!$A$9,"Tipo","1Funcionamiento","Cuentas","B-Adquisiciones de Bienes y Servicios")/1000000000</f>
        <v>36.050845345569996</v>
      </c>
      <c r="F11" s="28">
        <f>+GETPIVOTDATA("Suma de Pago",'[1]CUA3.TD'!$A$9,"Tipo","1Funcionamiento","Cuentas","B-Adquisiciones de Bienes y Servicios")/1000000000</f>
        <v>32.478891568639995</v>
      </c>
      <c r="G11" s="29">
        <f t="shared" si="4"/>
        <v>478.49131064090011</v>
      </c>
      <c r="H11" s="30">
        <f t="shared" si="0"/>
        <v>43.361692385520016</v>
      </c>
      <c r="I11" s="30">
        <f t="shared" si="1"/>
        <v>4.2672851586573932</v>
      </c>
      <c r="J11" s="30">
        <f t="shared" si="2"/>
        <v>3.8444782814928149</v>
      </c>
      <c r="K11" s="30">
        <f t="shared" si="3"/>
        <v>9.8411407025303017</v>
      </c>
      <c r="L11" s="30">
        <f t="shared" si="3"/>
        <v>90.091900085308453</v>
      </c>
    </row>
    <row r="12" spans="1:18" ht="11.25" customHeight="1" x14ac:dyDescent="0.2">
      <c r="A12" s="26"/>
      <c r="B12" s="27" t="s">
        <v>31</v>
      </c>
      <c r="C12" s="28">
        <f>+GETPIVOTDATA("Suma de Apropiacion Vigente",'[1]CUA3.TD'!$A$9,"Tipo","1Funcionamiento","Cuentas","C-Transferencias")/1000000000</f>
        <v>3087.6572195899998</v>
      </c>
      <c r="D12" s="28">
        <f>+GETPIVOTDATA("Suma de Compromisos",'[1]CUA3.TD'!$A$9,"Tipo","1Funcionamiento","Cuentas","C-Transferencias")/1000000000</f>
        <v>951.10770021876999</v>
      </c>
      <c r="E12" s="28">
        <f>+GETPIVOTDATA("Suma de Obligación",'[1]CUA3.TD'!$A$9,"Tipo","1Funcionamiento","Cuentas","C-Transferencias")/1000000000</f>
        <v>82.338814598010003</v>
      </c>
      <c r="F12" s="28">
        <f>+GETPIVOTDATA("Suma de Pago",'[1]CUA3.TD'!$A$9,"Tipo","1Funcionamiento","Cuentas","C-Transferencias")/1000000000</f>
        <v>51.696204757609998</v>
      </c>
      <c r="G12" s="29">
        <f t="shared" si="4"/>
        <v>2136.54951937123</v>
      </c>
      <c r="H12" s="30">
        <f t="shared" si="0"/>
        <v>30.803539142374898</v>
      </c>
      <c r="I12" s="30">
        <f t="shared" si="1"/>
        <v>2.6667084051818262</v>
      </c>
      <c r="J12" s="30">
        <f t="shared" si="2"/>
        <v>1.6742857474468804</v>
      </c>
      <c r="K12" s="30">
        <f t="shared" si="3"/>
        <v>8.6571494036974741</v>
      </c>
      <c r="L12" s="30">
        <f t="shared" si="3"/>
        <v>62.784732826186954</v>
      </c>
    </row>
    <row r="13" spans="1:18" ht="11.25" customHeight="1" x14ac:dyDescent="0.2">
      <c r="A13" s="26"/>
      <c r="B13" s="27" t="s">
        <v>32</v>
      </c>
      <c r="C13" s="28">
        <f>+GETPIVOTDATA("Suma de Apropiacion Vigente",'[1]CUA3.TD'!$A$9,"Tipo","1Funcionamiento","Cuentas","D-Gastos de Comercialización y Producción")/1000000000</f>
        <v>1276.037909933</v>
      </c>
      <c r="D13" s="28">
        <f>+GETPIVOTDATA("Suma de Compromisos",'[1]CUA3.TD'!$A$9,"Tipo","1Funcionamiento","Cuentas","D-Gastos de Comercialización y Producción")/1000000000</f>
        <v>352.33414159611999</v>
      </c>
      <c r="E13" s="28">
        <f>+GETPIVOTDATA("Suma de Obligación",'[1]CUA3.TD'!$A$9,"Tipo","1Funcionamiento","Cuentas","D-Gastos de Comercialización y Producción")/1000000000</f>
        <v>18.99377474317</v>
      </c>
      <c r="F13" s="28">
        <f>+GETPIVOTDATA("Suma de Pago",'[1]CUA3.TD'!$A$9,"Tipo","1Funcionamiento","Cuentas","D-Gastos de Comercialización y Producción")/1000000000</f>
        <v>9.7893396453400001</v>
      </c>
      <c r="G13" s="29">
        <f t="shared" si="4"/>
        <v>923.7037683368801</v>
      </c>
      <c r="H13" s="30">
        <f t="shared" si="0"/>
        <v>27.611573202760077</v>
      </c>
      <c r="I13" s="30">
        <f t="shared" si="1"/>
        <v>1.4884961171856792</v>
      </c>
      <c r="J13" s="30">
        <f t="shared" si="2"/>
        <v>0.76716683486731219</v>
      </c>
      <c r="K13" s="30">
        <f t="shared" si="3"/>
        <v>5.3908413919598326</v>
      </c>
      <c r="L13" s="30">
        <f t="shared" si="3"/>
        <v>51.539726977441191</v>
      </c>
    </row>
    <row r="14" spans="1:18" ht="11.25" customHeight="1" x14ac:dyDescent="0.2">
      <c r="A14" s="26"/>
      <c r="B14" s="27" t="s">
        <v>33</v>
      </c>
      <c r="C14" s="28">
        <f>+GETPIVOTDATA("Suma de Apropiacion Vigente",'[1]CUA3.TD'!$A$9,"Tipo","1Funcionamiento","Cuentas","E-Adquisición de Activos Financieros")/1000000000</f>
        <v>72.360848000000004</v>
      </c>
      <c r="D14" s="28">
        <f>+GETPIVOTDATA("Suma de Compromisos",'[1]CUA3.TD'!$A$9,"Tipo","1Funcionamiento","Cuentas","E-Adquisición de Activos Financieros")/1000000000</f>
        <v>0.64353796043</v>
      </c>
      <c r="E14" s="28">
        <f>+GETPIVOTDATA("Suma de Obligación",'[1]CUA3.TD'!$A$9,"Tipo","1Funcionamiento","Cuentas","E-Adquisición de Activos Financieros")/1000000000</f>
        <v>0.63778053859000006</v>
      </c>
      <c r="F14" s="28">
        <f>+GETPIVOTDATA("Suma de Pago",'[1]CUA3.TD'!$A$9,"Tipo","1Funcionamiento","Cuentas","E-Adquisición de Activos Financieros")/1000000000</f>
        <v>0.63100000000000001</v>
      </c>
      <c r="G14" s="29">
        <f t="shared" si="4"/>
        <v>71.717310039570009</v>
      </c>
      <c r="H14" s="30">
        <f t="shared" si="0"/>
        <v>0.88934552070202377</v>
      </c>
      <c r="I14" s="30">
        <f t="shared" si="1"/>
        <v>0.8813889779041838</v>
      </c>
      <c r="J14" s="30">
        <f t="shared" si="2"/>
        <v>0.87201852581937667</v>
      </c>
      <c r="K14" s="30">
        <f t="shared" si="3"/>
        <v>99.105348527357577</v>
      </c>
      <c r="L14" s="30">
        <f t="shared" si="3"/>
        <v>98.936853952146237</v>
      </c>
    </row>
    <row r="15" spans="1:18" ht="11.25" customHeight="1" x14ac:dyDescent="0.2">
      <c r="A15" s="26"/>
      <c r="B15" s="27" t="s">
        <v>34</v>
      </c>
      <c r="C15" s="28">
        <f>+GETPIVOTDATA("Suma de Apropiacion Vigente",'[1]CUA3.TD'!$A$9,"Tipo","1Funcionamiento","Cuentas","F-Disminución de Pasivos")/1000000000</f>
        <v>9.9309999999999992</v>
      </c>
      <c r="D15" s="28">
        <f>+GETPIVOTDATA("Suma de Compromisos",'[1]CUA3.TD'!$A$9,"Tipo","1Funcionamiento","Cuentas","F-Disminución de Pasivos")/1000000000</f>
        <v>6.5022980999999994E-2</v>
      </c>
      <c r="E15" s="28">
        <f>+GETPIVOTDATA("Suma de Obligación",'[1]CUA3.TD'!$A$9,"Tipo","1Funcionamiento","Cuentas","F-Disminución de Pasivos")/1000000000</f>
        <v>4.8518723E-2</v>
      </c>
      <c r="F15" s="28">
        <f>+GETPIVOTDATA("Suma de Pago",'[1]CUA3.TD'!$A$9,"Tipo","1Funcionamiento","Cuentas","F-Disminución de Pasivos")/1000000000</f>
        <v>4.8511185999999998E-2</v>
      </c>
      <c r="G15" s="29">
        <f t="shared" si="4"/>
        <v>9.8659770189999989</v>
      </c>
      <c r="H15" s="30">
        <f t="shared" si="0"/>
        <v>0.654747568220723</v>
      </c>
      <c r="I15" s="30">
        <f t="shared" si="1"/>
        <v>0.48855828214681307</v>
      </c>
      <c r="J15" s="30">
        <f t="shared" si="2"/>
        <v>0.48848238848051562</v>
      </c>
      <c r="K15" s="30">
        <f t="shared" si="3"/>
        <v>74.617807817823675</v>
      </c>
      <c r="L15" s="30">
        <f t="shared" si="3"/>
        <v>99.984465790659812</v>
      </c>
    </row>
    <row r="16" spans="1:18" s="36" customFormat="1" ht="22.5" x14ac:dyDescent="0.25">
      <c r="A16" s="31"/>
      <c r="B16" s="32" t="s">
        <v>35</v>
      </c>
      <c r="C16" s="33">
        <f>+GETPIVOTDATA("Suma de Apropiacion Vigente",'[1]CUA3.TD'!$A$9,"Tipo","1Funcionamiento","Cuentas","G-Gastos por Tributos, Multas, Sanciones e Intereses de Mora")/1000000000</f>
        <v>102.951838197</v>
      </c>
      <c r="D16" s="33">
        <f>+GETPIVOTDATA("Suma de Compromisos",'[1]CUA3.TD'!$A$9,"Tipo","1Funcionamiento","Cuentas","G-Gastos por Tributos, Multas, Sanciones e Intereses de Mora")/1000000000</f>
        <v>2.6564412900600001</v>
      </c>
      <c r="E16" s="33">
        <f>+GETPIVOTDATA("Suma de Obligación",'[1]CUA3.TD'!$A$9,"Tipo","1Funcionamiento","Cuentas","G-Gastos por Tributos, Multas, Sanciones e Intereses de Mora")/1000000000</f>
        <v>2.15869507706</v>
      </c>
      <c r="F16" s="33">
        <f>+GETPIVOTDATA("Suma de Pago",'[1]CUA3.TD'!$A$9,"Tipo","1Funcionamiento","Cuentas","G-Gastos por Tributos, Multas, Sanciones e Intereses de Mora")/1000000000</f>
        <v>1.93653419406</v>
      </c>
      <c r="G16" s="34">
        <f t="shared" si="4"/>
        <v>100.29539690694</v>
      </c>
      <c r="H16" s="35">
        <f t="shared" si="0"/>
        <v>2.5802757256037108</v>
      </c>
      <c r="I16" s="35">
        <f t="shared" si="1"/>
        <v>2.0968009069729305</v>
      </c>
      <c r="J16" s="35">
        <f t="shared" si="2"/>
        <v>1.8810098274830322</v>
      </c>
      <c r="K16" s="35">
        <f t="shared" si="3"/>
        <v>81.262668410459867</v>
      </c>
      <c r="L16" s="35">
        <f t="shared" si="3"/>
        <v>89.70855655526077</v>
      </c>
      <c r="P16" s="37"/>
      <c r="Q16" s="37"/>
      <c r="R16" s="37"/>
    </row>
    <row r="17" spans="1:12 16383:16383" ht="11.25" customHeight="1" x14ac:dyDescent="0.2">
      <c r="A17" s="21" t="s">
        <v>36</v>
      </c>
      <c r="B17" s="22" t="s">
        <v>37</v>
      </c>
      <c r="C17" s="23">
        <f>+C18+C22</f>
        <v>1.165</v>
      </c>
      <c r="D17" s="23">
        <f>+D18+D22</f>
        <v>0</v>
      </c>
      <c r="E17" s="23">
        <f>+E18+E22</f>
        <v>0</v>
      </c>
      <c r="F17" s="23">
        <f>+F18+F22</f>
        <v>0</v>
      </c>
      <c r="G17" s="23">
        <f>+G18+G22</f>
        <v>1.165</v>
      </c>
      <c r="H17" s="25">
        <f t="shared" si="0"/>
        <v>0</v>
      </c>
      <c r="I17" s="25">
        <f t="shared" si="1"/>
        <v>0</v>
      </c>
      <c r="J17" s="25">
        <f t="shared" si="2"/>
        <v>0</v>
      </c>
      <c r="K17" s="25">
        <f t="shared" si="3"/>
        <v>0</v>
      </c>
      <c r="L17" s="25">
        <f t="shared" si="3"/>
        <v>0</v>
      </c>
    </row>
    <row r="18" spans="1:12 16383:16383" ht="11.25" hidden="1" customHeight="1" x14ac:dyDescent="0.2">
      <c r="A18" s="38"/>
      <c r="B18" s="39" t="s">
        <v>38</v>
      </c>
      <c r="C18" s="40">
        <f>+C19+C20+C21</f>
        <v>0</v>
      </c>
      <c r="D18" s="40">
        <f>+D19+D20+D21</f>
        <v>0</v>
      </c>
      <c r="E18" s="40">
        <f>+E19+E20+E21</f>
        <v>0</v>
      </c>
      <c r="F18" s="40">
        <f>+F19+F20+F21</f>
        <v>0</v>
      </c>
      <c r="G18" s="41">
        <f>+C18-D18</f>
        <v>0</v>
      </c>
      <c r="H18" s="42">
        <f t="shared" si="0"/>
        <v>0</v>
      </c>
      <c r="I18" s="42">
        <f t="shared" si="1"/>
        <v>0</v>
      </c>
      <c r="J18" s="42">
        <f t="shared" si="2"/>
        <v>0</v>
      </c>
      <c r="K18" s="42">
        <f t="shared" si="3"/>
        <v>0</v>
      </c>
      <c r="L18" s="42">
        <f t="shared" si="3"/>
        <v>0</v>
      </c>
    </row>
    <row r="19" spans="1:12 16383:16383" ht="11.25" hidden="1" customHeight="1" x14ac:dyDescent="0.2">
      <c r="A19" s="26"/>
      <c r="B19" s="43" t="s">
        <v>39</v>
      </c>
      <c r="C19" s="28">
        <v>0</v>
      </c>
      <c r="D19" s="28">
        <v>0</v>
      </c>
      <c r="E19" s="28">
        <v>0</v>
      </c>
      <c r="F19" s="28">
        <v>0</v>
      </c>
      <c r="G19" s="29">
        <f t="shared" ref="G19:G24" si="5">+C19-D19</f>
        <v>0</v>
      </c>
      <c r="H19" s="30">
        <f t="shared" si="0"/>
        <v>0</v>
      </c>
      <c r="I19" s="30">
        <f t="shared" si="1"/>
        <v>0</v>
      </c>
      <c r="J19" s="30">
        <f t="shared" si="2"/>
        <v>0</v>
      </c>
      <c r="K19" s="30">
        <f t="shared" si="3"/>
        <v>0</v>
      </c>
      <c r="L19" s="30">
        <f t="shared" si="3"/>
        <v>0</v>
      </c>
    </row>
    <row r="20" spans="1:12 16383:16383" ht="11.25" hidden="1" customHeight="1" x14ac:dyDescent="0.2">
      <c r="A20" s="26"/>
      <c r="B20" s="43" t="s">
        <v>40</v>
      </c>
      <c r="C20" s="28">
        <v>0</v>
      </c>
      <c r="D20" s="28">
        <v>0</v>
      </c>
      <c r="E20" s="28">
        <v>0</v>
      </c>
      <c r="F20" s="28">
        <v>0</v>
      </c>
      <c r="G20" s="29">
        <f t="shared" si="5"/>
        <v>0</v>
      </c>
      <c r="H20" s="30">
        <f>IFERROR(IF(D20&gt;0,+D20/C20*100,0),0)</f>
        <v>0</v>
      </c>
      <c r="I20" s="30">
        <f>IFERROR(IF(E20&gt;0,+E20/C20*100,0),0)</f>
        <v>0</v>
      </c>
      <c r="J20" s="30">
        <f>IFERROR(IF(F20&gt;0,+F20/C20*100,0),0)</f>
        <v>0</v>
      </c>
      <c r="K20" s="30">
        <f t="shared" si="3"/>
        <v>0</v>
      </c>
      <c r="L20" s="30">
        <f t="shared" si="3"/>
        <v>0</v>
      </c>
      <c r="XFC20" s="44"/>
    </row>
    <row r="21" spans="1:12 16383:16383" ht="11.25" hidden="1" customHeight="1" x14ac:dyDescent="0.2">
      <c r="A21" s="26"/>
      <c r="B21" s="43" t="s">
        <v>41</v>
      </c>
      <c r="C21" s="28">
        <v>0</v>
      </c>
      <c r="D21" s="28">
        <v>0</v>
      </c>
      <c r="E21" s="28">
        <v>0</v>
      </c>
      <c r="F21" s="28">
        <v>0</v>
      </c>
      <c r="G21" s="29">
        <f t="shared" si="5"/>
        <v>0</v>
      </c>
      <c r="H21" s="30">
        <f t="shared" si="0"/>
        <v>0</v>
      </c>
      <c r="I21" s="30">
        <f t="shared" si="1"/>
        <v>0</v>
      </c>
      <c r="J21" s="30">
        <f t="shared" si="2"/>
        <v>0</v>
      </c>
      <c r="K21" s="30">
        <f t="shared" si="3"/>
        <v>0</v>
      </c>
      <c r="L21" s="30">
        <f t="shared" si="3"/>
        <v>0</v>
      </c>
    </row>
    <row r="22" spans="1:12 16383:16383" ht="11.25" customHeight="1" x14ac:dyDescent="0.2">
      <c r="A22" s="38"/>
      <c r="B22" s="39" t="s">
        <v>42</v>
      </c>
      <c r="C22" s="40">
        <f>SUM(C23:C24)</f>
        <v>1.165</v>
      </c>
      <c r="D22" s="40">
        <f>SUM(D23:D24)</f>
        <v>0</v>
      </c>
      <c r="E22" s="40">
        <f>SUM(E23:E24)</f>
        <v>0</v>
      </c>
      <c r="F22" s="40">
        <f>SUM(F23:F24)</f>
        <v>0</v>
      </c>
      <c r="G22" s="41">
        <f t="shared" si="5"/>
        <v>1.165</v>
      </c>
      <c r="H22" s="42">
        <f t="shared" si="0"/>
        <v>0</v>
      </c>
      <c r="I22" s="42">
        <f t="shared" si="1"/>
        <v>0</v>
      </c>
      <c r="J22" s="42">
        <f t="shared" si="2"/>
        <v>0</v>
      </c>
      <c r="K22" s="42">
        <f t="shared" si="3"/>
        <v>0</v>
      </c>
      <c r="L22" s="42">
        <f t="shared" si="3"/>
        <v>0</v>
      </c>
      <c r="XFC22" s="44"/>
    </row>
    <row r="23" spans="1:12 16383:16383" ht="11.25" customHeight="1" x14ac:dyDescent="0.2">
      <c r="A23" s="26"/>
      <c r="B23" s="43" t="s">
        <v>39</v>
      </c>
      <c r="C23" s="28">
        <f>+GETPIVOTDATA("Suma de Apropiacion Vigente",'[1]CUA3.TD'!$A$9,"Tipo","2Servicio de la Deuda","Cuentas","B-Servicio de la Deuda Pública Interna","Detalle Programas","A-Principal")/1000000000</f>
        <v>1.099</v>
      </c>
      <c r="D23" s="28">
        <f>+GETPIVOTDATA("Suma de Compromisos",'[1]CUA3.TD'!$A$9,"Tipo","2Servicio de la Deuda","Cuentas","B-Servicio de la Deuda Pública Interna","Detalle Programas","A-Principal")/1000000000</f>
        <v>0</v>
      </c>
      <c r="E23" s="28">
        <f>+GETPIVOTDATA("Suma de Obligación",'[1]CUA3.TD'!$A$9,"Tipo","2Servicio de la Deuda","Cuentas","B-Servicio de la Deuda Pública Interna","Detalle Programas","A-Principal")/1000000000</f>
        <v>0</v>
      </c>
      <c r="F23" s="28">
        <f>+GETPIVOTDATA("Suma de Pago",'[1]CUA3.TD'!$A$9,"Tipo","2Servicio de la Deuda","Cuentas","B-Servicio de la Deuda Pública Interna","Detalle Programas","A-Principal")/1000000000</f>
        <v>0</v>
      </c>
      <c r="G23" s="29">
        <f t="shared" si="5"/>
        <v>1.099</v>
      </c>
      <c r="H23" s="30">
        <f t="shared" si="0"/>
        <v>0</v>
      </c>
      <c r="I23" s="30">
        <f t="shared" si="1"/>
        <v>0</v>
      </c>
      <c r="J23" s="30">
        <f t="shared" si="2"/>
        <v>0</v>
      </c>
      <c r="K23" s="30">
        <f t="shared" si="3"/>
        <v>0</v>
      </c>
      <c r="L23" s="30">
        <f t="shared" si="3"/>
        <v>0</v>
      </c>
      <c r="XFC23" s="44"/>
    </row>
    <row r="24" spans="1:12 16383:16383" ht="12" customHeight="1" x14ac:dyDescent="0.2">
      <c r="A24" s="26"/>
      <c r="B24" s="43" t="s">
        <v>40</v>
      </c>
      <c r="C24" s="28">
        <f>+GETPIVOTDATA("Suma de Apropiacion Vigente",'[1]CUA3.TD'!$A$9,"Tipo","2Servicio de la Deuda","Cuentas","B-Servicio de la Deuda Pública Interna","Detalle Programas","B-Intereses")/1000000000</f>
        <v>6.6000000000000003E-2</v>
      </c>
      <c r="D24" s="28">
        <f>+GETPIVOTDATA("Suma de Compromisos",'[1]CUA3.TD'!$A$9,"Tipo","2Servicio de la Deuda","Cuentas","B-Servicio de la Deuda Pública Interna","Detalle Programas","B-Intereses")/1000000000</f>
        <v>0</v>
      </c>
      <c r="E24" s="28">
        <f>+GETPIVOTDATA("Suma de Obligación",'[1]CUA3.TD'!$A$9,"Tipo","2Servicio de la Deuda","Cuentas","B-Servicio de la Deuda Pública Interna","Detalle Programas","B-Intereses")/1000000000</f>
        <v>0</v>
      </c>
      <c r="F24" s="28">
        <f>+GETPIVOTDATA("Suma de Pago",'[1]CUA3.TD'!$A$9,"Tipo","2Servicio de la Deuda","Cuentas","B-Servicio de la Deuda Pública Interna","Detalle Programas","B-Intereses")/1000000000</f>
        <v>0</v>
      </c>
      <c r="G24" s="29">
        <f t="shared" si="5"/>
        <v>6.6000000000000003E-2</v>
      </c>
      <c r="H24" s="30">
        <f t="shared" si="0"/>
        <v>0</v>
      </c>
      <c r="I24" s="30">
        <f t="shared" si="1"/>
        <v>0</v>
      </c>
      <c r="J24" s="30">
        <f t="shared" si="2"/>
        <v>0</v>
      </c>
      <c r="K24" s="30">
        <f t="shared" si="3"/>
        <v>0</v>
      </c>
      <c r="L24" s="30">
        <f t="shared" si="3"/>
        <v>0</v>
      </c>
    </row>
    <row r="25" spans="1:12 16383:16383" ht="11.25" customHeight="1" x14ac:dyDescent="0.2">
      <c r="A25" s="21" t="s">
        <v>43</v>
      </c>
      <c r="B25" s="21" t="s">
        <v>44</v>
      </c>
      <c r="C25" s="23">
        <f>+GETPIVOTDATA("Suma de Apropiacion Vigente",'[1]CUA3.TD'!$A$9,"Tipo","3Inversión","Cuentas","A-Inversión")/1000000000</f>
        <v>9127.8579131000006</v>
      </c>
      <c r="D25" s="23">
        <f>+GETPIVOTDATA("Suma de Compromisos",'[1]CUA3.TD'!$A$9,"Tipo","3Inversión","Cuentas","A-Inversión")/1000000000</f>
        <v>2340.9423837025402</v>
      </c>
      <c r="E25" s="23">
        <f>+GETPIVOTDATA("Suma de Obligación",'[1]CUA3.TD'!$A$9,"Tipo","3Inversión","Cuentas","A-Inversión")/1000000000</f>
        <v>52.234586963869994</v>
      </c>
      <c r="F25" s="23">
        <f>+GETPIVOTDATA("Suma de Obligación",'[1]CUA3.TD'!$A$9,"Tipo","3Inversión","Cuentas","A-Inversión")/1000000000</f>
        <v>52.234586963869994</v>
      </c>
      <c r="G25" s="24">
        <f>+C25-D25</f>
        <v>6786.91552939746</v>
      </c>
      <c r="H25" s="25">
        <f>IFERROR(IF(D25&gt;0,+D25/C25*100,0),0)</f>
        <v>25.646130844597142</v>
      </c>
      <c r="I25" s="25">
        <f>IFERROR(IF(E25&gt;0,+E25/C25*100,0),0)</f>
        <v>0.57225460191382516</v>
      </c>
      <c r="J25" s="25">
        <f>IFERROR(IF(F25&gt;0,+F25/C25*100,0),0)</f>
        <v>0.57225460191382516</v>
      </c>
      <c r="K25" s="25">
        <f t="shared" ref="K25:L27" si="6">IFERROR(IF(E25&gt;0,+E25/D25*100,0),0)</f>
        <v>2.2313486793832755</v>
      </c>
      <c r="L25" s="25">
        <f t="shared" si="6"/>
        <v>100</v>
      </c>
    </row>
    <row r="26" spans="1:12 16383:16383" ht="11.25" customHeight="1" x14ac:dyDescent="0.2">
      <c r="A26" s="45" t="s">
        <v>45</v>
      </c>
      <c r="B26" s="45" t="s">
        <v>46</v>
      </c>
      <c r="C26" s="46">
        <f>+C9+C17+C25</f>
        <v>16483.215685772</v>
      </c>
      <c r="D26" s="47">
        <f>+D9+D17+D25</f>
        <v>4149.70085872863</v>
      </c>
      <c r="E26" s="46">
        <f>+E9+E17+E25</f>
        <v>302.23772819325001</v>
      </c>
      <c r="F26" s="48">
        <f>+F9+F17+F25</f>
        <v>254.98420956489997</v>
      </c>
      <c r="G26" s="49">
        <f>+G9+G17+G25</f>
        <v>12333.514827043371</v>
      </c>
      <c r="H26" s="50">
        <f>IFERROR(IF(D26&gt;0,+D26/C26*100,0),0)</f>
        <v>25.175311285349334</v>
      </c>
      <c r="I26" s="50">
        <f>IFERROR(IF(E26&gt;0,+E26/C26*100,0),0)</f>
        <v>1.8336090114633146</v>
      </c>
      <c r="J26" s="50">
        <f>IFERROR(IF(F26&gt;0,+F26/C26*100,0),0)</f>
        <v>1.5469324337301338</v>
      </c>
      <c r="K26" s="50">
        <f t="shared" si="6"/>
        <v>7.2833618249255796</v>
      </c>
      <c r="L26" s="50">
        <f t="shared" si="6"/>
        <v>84.365446726049939</v>
      </c>
    </row>
    <row r="27" spans="1:12 16383:16383" ht="11.25" customHeight="1" x14ac:dyDescent="0.2">
      <c r="A27" s="51" t="s">
        <v>47</v>
      </c>
      <c r="B27" s="51" t="s">
        <v>48</v>
      </c>
      <c r="C27" s="52">
        <f>+C26-C17</f>
        <v>16482.050685771999</v>
      </c>
      <c r="D27" s="53">
        <f>+D26-D17</f>
        <v>4149.70085872863</v>
      </c>
      <c r="E27" s="52">
        <f>+E26-E17</f>
        <v>302.23772819325001</v>
      </c>
      <c r="F27" s="54">
        <f>+F26-F17</f>
        <v>254.98420956489997</v>
      </c>
      <c r="G27" s="55">
        <f>+G26-G17</f>
        <v>12332.34982704337</v>
      </c>
      <c r="H27" s="56">
        <f>IFERROR(IF(D27&gt;0,+D27/C27*100,0),0)</f>
        <v>25.177090750672349</v>
      </c>
      <c r="I27" s="56">
        <f>IFERROR(IF(E27&gt;0,+E27/C27*100,0),0)</f>
        <v>1.8337386163613387</v>
      </c>
      <c r="J27" s="56">
        <f>IFERROR(IF(F27&gt;0,+F27/C27*100,0),0)</f>
        <v>1.5470417754813306</v>
      </c>
      <c r="K27" s="56">
        <f t="shared" si="6"/>
        <v>7.2833618249255796</v>
      </c>
      <c r="L27" s="56">
        <f t="shared" si="6"/>
        <v>84.365446726049939</v>
      </c>
    </row>
    <row r="28" spans="1:12 16383:16383" ht="12" customHeight="1" x14ac:dyDescent="0.2">
      <c r="A28" s="57" t="s">
        <v>49</v>
      </c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</row>
    <row r="29" spans="1:12 16383:16383" ht="11.25" customHeight="1" x14ac:dyDescent="0.2"/>
    <row r="30" spans="1:12 16383:16383" ht="11.25" customHeight="1" x14ac:dyDescent="0.2"/>
    <row r="31" spans="1:12 16383:16383" ht="11.25" customHeight="1" x14ac:dyDescent="0.2"/>
    <row r="32" spans="1:12 16383:16383" ht="11.25" customHeight="1" x14ac:dyDescent="0.2"/>
    <row r="33" spans="3:3" ht="11.25" customHeight="1" x14ac:dyDescent="0.2"/>
    <row r="34" spans="3:3" ht="11.25" customHeight="1" x14ac:dyDescent="0.2">
      <c r="C34" s="58"/>
    </row>
    <row r="35" spans="3:3" ht="11.25" hidden="1" customHeight="1" x14ac:dyDescent="0.2">
      <c r="C35" s="59"/>
    </row>
  </sheetData>
  <mergeCells count="12">
    <mergeCell ref="H6:L6"/>
    <mergeCell ref="P16:R16"/>
    <mergeCell ref="A1:L1"/>
    <mergeCell ref="A2:L2"/>
    <mergeCell ref="A3:L3"/>
    <mergeCell ref="A4:L4"/>
    <mergeCell ref="B6:B7"/>
    <mergeCell ref="C6:C7"/>
    <mergeCell ref="D6:D7"/>
    <mergeCell ref="E6:E7"/>
    <mergeCell ref="F6:F7"/>
    <mergeCell ref="G6:G7"/>
  </mergeCells>
  <pageMargins left="0.70866141732283472" right="0.70866141732283472" top="0.74803149606299213" bottom="0.74803149606299213" header="0.31496062992125984" footer="0.31496062992125984"/>
  <pageSetup scale="8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CUA3</vt:lpstr>
      <vt:lpstr>'CUA3'!Área_de_impresión</vt:lpstr>
    </vt:vector>
  </TitlesOfParts>
  <Company>Ministerio de Hacienda y Crèdito Pùblico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Luz Dary Leon Torres</dc:creator>
  <cp:lastModifiedBy>Luz Dary Leon Torres</cp:lastModifiedBy>
  <cp:lastPrinted>2020-02-17T21:12:37Z</cp:lastPrinted>
  <dcterms:created xsi:type="dcterms:W3CDTF">2020-02-17T21:12:00Z</dcterms:created>
  <dcterms:modified xsi:type="dcterms:W3CDTF">2020-02-17T21:13:04Z</dcterms:modified>
</cp:coreProperties>
</file>