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Enero\"/>
    </mc:Choice>
  </mc:AlternateContent>
  <bookViews>
    <workbookView xWindow="0" yWindow="0" windowWidth="28800" windowHeight="11400"/>
  </bookViews>
  <sheets>
    <sheet name="CU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F24" i="1"/>
  <c r="D21" i="1"/>
  <c r="F20" i="1"/>
  <c r="F16" i="1"/>
  <c r="D13" i="1"/>
  <c r="F12" i="1"/>
  <c r="E24" i="1"/>
  <c r="C21" i="1"/>
  <c r="E16" i="1"/>
  <c r="E12" i="1"/>
  <c r="F27" i="1"/>
  <c r="F19" i="1"/>
  <c r="C25" i="1"/>
  <c r="E20" i="1"/>
  <c r="C13" i="1"/>
  <c r="D20" i="1"/>
  <c r="F11" i="1"/>
  <c r="E27" i="1"/>
  <c r="C24" i="1"/>
  <c r="E23" i="1"/>
  <c r="C20" i="1"/>
  <c r="E19" i="1"/>
  <c r="C16" i="1"/>
  <c r="E15" i="1"/>
  <c r="C12" i="1"/>
  <c r="E11" i="1"/>
  <c r="D26" i="1"/>
  <c r="D10" i="1"/>
  <c r="F15" i="1"/>
  <c r="D27" i="1"/>
  <c r="F26" i="1"/>
  <c r="D23" i="1"/>
  <c r="D19" i="1"/>
  <c r="D15" i="1"/>
  <c r="F14" i="1"/>
  <c r="D11" i="1"/>
  <c r="F10" i="1"/>
  <c r="F13" i="1"/>
  <c r="C26" i="1"/>
  <c r="E21" i="1"/>
  <c r="C10" i="1"/>
  <c r="D16" i="1"/>
  <c r="D12" i="1"/>
  <c r="C27" i="1"/>
  <c r="E26" i="1"/>
  <c r="C23" i="1"/>
  <c r="C19" i="1"/>
  <c r="C15" i="1"/>
  <c r="E14" i="1"/>
  <c r="C11" i="1"/>
  <c r="E10" i="1"/>
  <c r="F21" i="1"/>
  <c r="D14" i="1"/>
  <c r="E25" i="1"/>
  <c r="C14" i="1"/>
  <c r="D24" i="1"/>
  <c r="F25" i="1"/>
  <c r="E13" i="1"/>
  <c r="F23" i="1"/>
  <c r="L23" i="1" l="1"/>
  <c r="F22" i="1"/>
  <c r="J23" i="1"/>
  <c r="K13" i="1"/>
  <c r="I13" i="1"/>
  <c r="L25" i="1"/>
  <c r="J25" i="1"/>
  <c r="H24" i="1"/>
  <c r="G14" i="1"/>
  <c r="K25" i="1"/>
  <c r="I25" i="1"/>
  <c r="H14" i="1"/>
  <c r="L21" i="1"/>
  <c r="J21" i="1"/>
  <c r="I10" i="1"/>
  <c r="K10" i="1"/>
  <c r="E9" i="1"/>
  <c r="G11" i="1"/>
  <c r="I14" i="1"/>
  <c r="K14" i="1"/>
  <c r="G15" i="1"/>
  <c r="G19" i="1"/>
  <c r="C18" i="1"/>
  <c r="G23" i="1"/>
  <c r="C22" i="1"/>
  <c r="G22" i="1" s="1"/>
  <c r="I26" i="1"/>
  <c r="K26" i="1"/>
  <c r="G27" i="1"/>
  <c r="H12" i="1"/>
  <c r="H16" i="1"/>
  <c r="C9" i="1"/>
  <c r="G10" i="1"/>
  <c r="K21" i="1"/>
  <c r="I21" i="1"/>
  <c r="G26" i="1"/>
  <c r="L13" i="1"/>
  <c r="J13" i="1"/>
  <c r="J10" i="1"/>
  <c r="F9" i="1"/>
  <c r="L10" i="1"/>
  <c r="H11" i="1"/>
  <c r="J14" i="1"/>
  <c r="L14" i="1"/>
  <c r="H15" i="1"/>
  <c r="H19" i="1"/>
  <c r="D18" i="1"/>
  <c r="H23" i="1"/>
  <c r="D22" i="1"/>
  <c r="J26" i="1"/>
  <c r="L26" i="1"/>
  <c r="H27" i="1"/>
  <c r="L15" i="1"/>
  <c r="J15" i="1"/>
  <c r="D9" i="1"/>
  <c r="H10" i="1"/>
  <c r="H26" i="1"/>
  <c r="I11" i="1"/>
  <c r="K11" i="1"/>
  <c r="G12" i="1"/>
  <c r="K15" i="1"/>
  <c r="I15" i="1"/>
  <c r="G16" i="1"/>
  <c r="K19" i="1"/>
  <c r="E18" i="1"/>
  <c r="I19" i="1"/>
  <c r="G20" i="1"/>
  <c r="I23" i="1"/>
  <c r="K23" i="1"/>
  <c r="E22" i="1"/>
  <c r="G24" i="1"/>
  <c r="I27" i="1"/>
  <c r="K27" i="1"/>
  <c r="J11" i="1"/>
  <c r="L11" i="1"/>
  <c r="H20" i="1"/>
  <c r="G13" i="1"/>
  <c r="K20" i="1"/>
  <c r="I20" i="1"/>
  <c r="G25" i="1"/>
  <c r="L19" i="1"/>
  <c r="F18" i="1"/>
  <c r="J19" i="1"/>
  <c r="L27" i="1"/>
  <c r="J27" i="1"/>
  <c r="K12" i="1"/>
  <c r="I12" i="1"/>
  <c r="K16" i="1"/>
  <c r="I16" i="1"/>
  <c r="G21" i="1"/>
  <c r="K24" i="1"/>
  <c r="I24" i="1"/>
  <c r="J12" i="1"/>
  <c r="L12" i="1"/>
  <c r="H13" i="1"/>
  <c r="L16" i="1"/>
  <c r="J16" i="1"/>
  <c r="L20" i="1"/>
  <c r="J20" i="1"/>
  <c r="H21" i="1"/>
  <c r="L24" i="1"/>
  <c r="J24" i="1"/>
  <c r="H25" i="1"/>
  <c r="J22" i="1" l="1"/>
  <c r="L22" i="1"/>
  <c r="J18" i="1"/>
  <c r="L18" i="1"/>
  <c r="F17" i="1"/>
  <c r="F28" i="1" s="1"/>
  <c r="K9" i="1"/>
  <c r="E28" i="1"/>
  <c r="I9" i="1"/>
  <c r="I18" i="1"/>
  <c r="K18" i="1"/>
  <c r="E17" i="1"/>
  <c r="H22" i="1"/>
  <c r="G9" i="1"/>
  <c r="G28" i="1" s="1"/>
  <c r="G29" i="1" s="1"/>
  <c r="L9" i="1"/>
  <c r="J9" i="1"/>
  <c r="C28" i="1"/>
  <c r="C29" i="1" s="1"/>
  <c r="C17" i="1"/>
  <c r="G18" i="1"/>
  <c r="G17" i="1" s="1"/>
  <c r="D28" i="1"/>
  <c r="H9" i="1"/>
  <c r="D17" i="1"/>
  <c r="H17" i="1" s="1"/>
  <c r="H18" i="1"/>
  <c r="I22" i="1"/>
  <c r="K22" i="1"/>
  <c r="L28" i="1" l="1"/>
  <c r="J28" i="1"/>
  <c r="F29" i="1"/>
  <c r="K28" i="1"/>
  <c r="I28" i="1"/>
  <c r="E29" i="1"/>
  <c r="L17" i="1"/>
  <c r="J17" i="1"/>
  <c r="D29" i="1"/>
  <c r="H29" i="1" s="1"/>
  <c r="H28" i="1"/>
  <c r="K17" i="1"/>
  <c r="I17" i="1"/>
  <c r="K29" i="1" l="1"/>
  <c r="I29" i="1"/>
  <c r="L29" i="1"/>
  <c r="J29" i="1"/>
</calcChain>
</file>

<file path=xl/sharedStrings.xml><?xml version="1.0" encoding="utf-8"?>
<sst xmlns="http://schemas.openxmlformats.org/spreadsheetml/2006/main" count="54" uniqueCount="51">
  <si>
    <t>Cuadro No. 2</t>
  </si>
  <si>
    <t>Ejecución del presupuesto del Gobierno Central</t>
  </si>
  <si>
    <t xml:space="preserve">Acumulada a enero de 2020 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</si>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</sst>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_);_(* \(#,##0\);_(* &quot;-&quot;_);_(@_)"/>
    <numFmt numFmtId="167" formatCode="0_);\(0\)"/>
    <numFmt numFmtId="168" formatCode="_(* #,##0.00_);_(* \(#,##0.00\);_(* &quot;-&quot;??_);_(@_)"/>
    <numFmt numFmtId="169" formatCode="_ * #,##0.00_ ;_ * \-#,##0.00_ ;_ * &quot;-&quot;??_ ;_ @_ "/>
    <numFmt numFmtId="170" formatCode="_ * #,##0.0_ ;_ * \-#,##0.0_ ;_ * &quot;-&quot;??_ ;_ @_ "/>
    <numFmt numFmtId="171" formatCode="0.0"/>
    <numFmt numFmtId="172" formatCode="0.0%"/>
    <numFmt numFmtId="173" formatCode="_-* #,##0.0_-;\-* #,##0.0_-;_-* &quot;-&quot;_-;_-@_-"/>
    <numFmt numFmtId="174" formatCode="[$-24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0" fillId="0" borderId="0"/>
  </cellStyleXfs>
  <cellXfs count="5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/>
    <xf numFmtId="165" fontId="4" fillId="0" borderId="0" xfId="1" applyNumberFormat="1" applyFont="1" applyFill="1" applyBorder="1" applyProtection="1"/>
    <xf numFmtId="166" fontId="3" fillId="0" borderId="0" xfId="0" applyNumberFormat="1" applyFont="1"/>
    <xf numFmtId="167" fontId="4" fillId="0" borderId="0" xfId="1" applyNumberFormat="1" applyFont="1" applyFill="1" applyBorder="1"/>
    <xf numFmtId="164" fontId="6" fillId="2" borderId="0" xfId="1" applyNumberFormat="1" applyFont="1" applyFill="1" applyBorder="1"/>
    <xf numFmtId="164" fontId="7" fillId="2" borderId="0" xfId="1" applyNumberFormat="1" applyFont="1" applyFill="1" applyBorder="1" applyAlignment="1" applyProtection="1">
      <alignment horizontal="left" vertical="top" wrapText="1"/>
    </xf>
    <xf numFmtId="165" fontId="7" fillId="2" borderId="0" xfId="4" applyNumberFormat="1" applyFont="1" applyFill="1" applyBorder="1" applyAlignment="1" applyProtection="1">
      <alignment horizontal="center" vertical="top" wrapText="1"/>
    </xf>
    <xf numFmtId="165" fontId="7" fillId="2" borderId="1" xfId="5" applyNumberFormat="1" applyFont="1" applyFill="1" applyBorder="1" applyAlignment="1" applyProtection="1">
      <alignment horizontal="center" vertical="top" wrapText="1"/>
    </xf>
    <xf numFmtId="164" fontId="7" fillId="2" borderId="2" xfId="1" applyNumberFormat="1" applyFont="1" applyFill="1" applyBorder="1" applyAlignment="1" applyProtection="1">
      <alignment horizontal="center" vertical="top"/>
    </xf>
    <xf numFmtId="170" fontId="7" fillId="2" borderId="0" xfId="6" applyNumberFormat="1" applyFont="1" applyFill="1" applyBorder="1" applyAlignment="1" applyProtection="1">
      <alignment horizontal="center"/>
    </xf>
    <xf numFmtId="164" fontId="7" fillId="2" borderId="0" xfId="1" applyNumberFormat="1" applyFont="1" applyFill="1" applyBorder="1" applyAlignment="1" applyProtection="1">
      <alignment horizontal="centerContinuous"/>
    </xf>
    <xf numFmtId="165" fontId="7" fillId="2" borderId="0" xfId="1" quotePrefix="1" applyNumberFormat="1" applyFont="1" applyFill="1" applyBorder="1" applyAlignment="1" applyProtection="1">
      <alignment horizontal="center"/>
    </xf>
    <xf numFmtId="165" fontId="7" fillId="2" borderId="0" xfId="1" quotePrefix="1" applyNumberFormat="1" applyFont="1" applyFill="1" applyBorder="1" applyAlignment="1" applyProtection="1">
      <alignment horizontal="center" vertical="center"/>
    </xf>
    <xf numFmtId="165" fontId="7" fillId="2" borderId="0" xfId="1" quotePrefix="1" applyNumberFormat="1" applyFont="1" applyFill="1" applyBorder="1" applyAlignment="1" applyProtection="1">
      <alignment horizontal="center" vertical="top"/>
    </xf>
    <xf numFmtId="165" fontId="7" fillId="2" borderId="1" xfId="1" applyNumberFormat="1" applyFont="1" applyFill="1" applyBorder="1" applyAlignment="1">
      <alignment horizontal="center"/>
    </xf>
    <xf numFmtId="170" fontId="7" fillId="2" borderId="0" xfId="6" quotePrefix="1" applyNumberFormat="1" applyFont="1" applyFill="1" applyBorder="1" applyAlignment="1">
      <alignment horizontal="center"/>
    </xf>
    <xf numFmtId="41" fontId="3" fillId="0" borderId="0" xfId="2" applyFont="1"/>
    <xf numFmtId="171" fontId="3" fillId="0" borderId="0" xfId="0" applyNumberFormat="1" applyFont="1"/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165" fontId="2" fillId="3" borderId="2" xfId="1" applyNumberFormat="1" applyFont="1" applyFill="1" applyBorder="1"/>
    <xf numFmtId="165" fontId="2" fillId="3" borderId="3" xfId="1" applyNumberFormat="1" applyFont="1" applyFill="1" applyBorder="1"/>
    <xf numFmtId="165" fontId="3" fillId="0" borderId="0" xfId="0" applyNumberFormat="1" applyFont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165" fontId="4" fillId="0" borderId="0" xfId="8" applyNumberFormat="1" applyFont="1" applyFill="1" applyBorder="1"/>
    <xf numFmtId="165" fontId="4" fillId="0" borderId="1" xfId="1" applyNumberFormat="1" applyFont="1" applyFill="1" applyBorder="1"/>
    <xf numFmtId="10" fontId="3" fillId="0" borderId="0" xfId="3" applyNumberFormat="1" applyFont="1"/>
    <xf numFmtId="9" fontId="3" fillId="0" borderId="0" xfId="3" applyFont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165" fontId="4" fillId="0" borderId="0" xfId="8" applyNumberFormat="1" applyFont="1" applyFill="1" applyBorder="1" applyAlignment="1">
      <alignment vertical="center"/>
    </xf>
    <xf numFmtId="165" fontId="4" fillId="0" borderId="0" xfId="8" applyNumberFormat="1" applyFont="1" applyFill="1" applyBorder="1" applyAlignment="1">
      <alignment horizontal="center" vertical="center" wrapText="1"/>
    </xf>
    <xf numFmtId="165" fontId="4" fillId="0" borderId="0" xfId="8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9" fontId="3" fillId="0" borderId="0" xfId="3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7" applyNumberFormat="1" applyFont="1" applyFill="1" applyBorder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72" fontId="3" fillId="0" borderId="0" xfId="3" applyNumberFormat="1" applyFont="1"/>
    <xf numFmtId="164" fontId="7" fillId="2" borderId="2" xfId="1" applyNumberFormat="1" applyFont="1" applyFill="1" applyBorder="1"/>
    <xf numFmtId="165" fontId="7" fillId="2" borderId="2" xfId="1" applyNumberFormat="1" applyFont="1" applyFill="1" applyBorder="1"/>
    <xf numFmtId="165" fontId="7" fillId="2" borderId="2" xfId="1" applyNumberFormat="1" applyFont="1" applyFill="1" applyBorder="1" applyAlignment="1">
      <alignment vertical="center"/>
    </xf>
    <xf numFmtId="165" fontId="7" fillId="2" borderId="2" xfId="1" applyNumberFormat="1" applyFont="1" applyFill="1" applyBorder="1" applyAlignment="1">
      <alignment vertical="top"/>
    </xf>
    <xf numFmtId="165" fontId="7" fillId="2" borderId="3" xfId="1" applyNumberFormat="1" applyFont="1" applyFill="1" applyBorder="1"/>
    <xf numFmtId="173" fontId="3" fillId="0" borderId="0" xfId="2" applyNumberFormat="1" applyFont="1"/>
    <xf numFmtId="164" fontId="7" fillId="2" borderId="0" xfId="1" applyNumberFormat="1" applyFont="1" applyFill="1" applyBorder="1"/>
    <xf numFmtId="165" fontId="7" fillId="2" borderId="0" xfId="1" applyNumberFormat="1" applyFont="1" applyFill="1" applyBorder="1"/>
    <xf numFmtId="165" fontId="7" fillId="2" borderId="1" xfId="1" applyNumberFormat="1" applyFont="1" applyFill="1" applyBorder="1"/>
    <xf numFmtId="174" fontId="4" fillId="0" borderId="0" xfId="9" applyNumberFormat="1" applyFont="1" applyFill="1" applyBorder="1" applyAlignment="1" applyProtection="1"/>
    <xf numFmtId="0" fontId="3" fillId="0" borderId="0" xfId="0" applyFont="1" applyAlignment="1">
      <alignment horizontal="center"/>
    </xf>
  </cellXfs>
  <cellStyles count="10">
    <cellStyle name="Millares" xfId="1" builtinId="3"/>
    <cellStyle name="Millares [0]" xfId="2" builtinId="6"/>
    <cellStyle name="Millares 2 4 2" xfId="7"/>
    <cellStyle name="Millares 4 3" xfId="4"/>
    <cellStyle name="Millares 7 2" xfId="5"/>
    <cellStyle name="Millares 9" xfId="8"/>
    <cellStyle name="Millares_CIFRAS PAGINA WEB 1995 - 2003" xfId="9"/>
    <cellStyle name="Millares_Plano ejecucion principales programas julio 13 - Despues de consejo de ministros" xf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EN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5.TD"/>
      <sheetName val="CUA4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>
        <row r="10">
          <cell r="A10" t="str">
            <v>Etiquetas de fila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/>
    <pageSetUpPr fitToPage="1"/>
  </sheetPr>
  <dimension ref="A1:XFD34"/>
  <sheetViews>
    <sheetView showGridLines="0" tabSelected="1" workbookViewId="0">
      <selection activeCell="C35" sqref="A35:XFD1048576"/>
    </sheetView>
  </sheetViews>
  <sheetFormatPr baseColWidth="10" defaultColWidth="0" defaultRowHeight="11.25" zeroHeight="1" x14ac:dyDescent="0.2"/>
  <cols>
    <col min="1" max="1" width="3.28515625" style="2" customWidth="1"/>
    <col min="2" max="2" width="33.7109375" style="2" customWidth="1"/>
    <col min="3" max="3" width="10.85546875" style="2" bestFit="1" customWidth="1"/>
    <col min="4" max="4" width="11.85546875" style="2" bestFit="1" customWidth="1"/>
    <col min="5" max="5" width="9.5703125" style="2" bestFit="1" customWidth="1"/>
    <col min="6" max="6" width="8.140625" style="2" customWidth="1"/>
    <col min="7" max="7" width="13.7109375" style="2" bestFit="1" customWidth="1"/>
    <col min="8" max="8" width="11.7109375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0.5703125" style="2" bestFit="1" customWidth="1"/>
    <col min="13" max="13" width="11.42578125" style="2" customWidth="1"/>
    <col min="14" max="16375" width="11.42578125" style="2" hidden="1" customWidth="1"/>
    <col min="16376" max="16376" width="8.140625" style="2" hidden="1" customWidth="1"/>
    <col min="16377" max="16377" width="5.85546875" style="2" hidden="1" customWidth="1"/>
    <col min="16378" max="16378" width="17" style="2" hidden="1" customWidth="1"/>
    <col min="16379" max="16379" width="10.42578125" style="2" hidden="1" customWidth="1"/>
    <col min="16380" max="16380" width="12.140625" style="2" hidden="1" customWidth="1"/>
    <col min="16381" max="16381" width="9.5703125" style="2" hidden="1" customWidth="1"/>
    <col min="16382" max="16382" width="25.7109375" style="2" hidden="1" customWidth="1"/>
    <col min="16383" max="16384" width="22.7109375" style="2" hidden="1" customWidth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9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8" ht="12.75" customHeight="1" x14ac:dyDescent="0.2">
      <c r="A5" s="4"/>
      <c r="B5" s="5"/>
      <c r="C5" s="6"/>
      <c r="D5" s="6"/>
      <c r="E5" s="6"/>
      <c r="F5" s="6"/>
      <c r="G5" s="6"/>
      <c r="H5" s="6"/>
      <c r="I5" s="4"/>
      <c r="J5" s="4"/>
      <c r="K5" s="4"/>
      <c r="L5" s="7"/>
    </row>
    <row r="6" spans="1:18" ht="11.25" customHeight="1" x14ac:dyDescent="0.2">
      <c r="A6" s="8"/>
      <c r="B6" s="9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2" t="s">
        <v>10</v>
      </c>
      <c r="I6" s="12"/>
      <c r="J6" s="12"/>
      <c r="K6" s="12"/>
      <c r="L6" s="12"/>
    </row>
    <row r="7" spans="1:18" ht="12" customHeight="1" x14ac:dyDescent="0.2">
      <c r="A7" s="8"/>
      <c r="B7" s="9"/>
      <c r="C7" s="10" t="s">
        <v>11</v>
      </c>
      <c r="D7" s="10"/>
      <c r="E7" s="10"/>
      <c r="F7" s="10"/>
      <c r="G7" s="11"/>
      <c r="H7" s="13" t="s">
        <v>12</v>
      </c>
      <c r="I7" s="13" t="s">
        <v>13</v>
      </c>
      <c r="J7" s="13" t="s">
        <v>14</v>
      </c>
      <c r="K7" s="13" t="s">
        <v>15</v>
      </c>
      <c r="L7" s="13" t="s">
        <v>16</v>
      </c>
    </row>
    <row r="8" spans="1:18" x14ac:dyDescent="0.2">
      <c r="A8" s="8"/>
      <c r="B8" s="14"/>
      <c r="C8" s="15" t="s">
        <v>17</v>
      </c>
      <c r="D8" s="16" t="s">
        <v>18</v>
      </c>
      <c r="E8" s="15" t="s">
        <v>19</v>
      </c>
      <c r="F8" s="17" t="s">
        <v>20</v>
      </c>
      <c r="G8" s="18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N8" s="20"/>
      <c r="O8" s="21"/>
    </row>
    <row r="9" spans="1:18" ht="11.25" customHeight="1" x14ac:dyDescent="0.2">
      <c r="A9" s="22" t="s">
        <v>27</v>
      </c>
      <c r="B9" s="23" t="s">
        <v>28</v>
      </c>
      <c r="C9" s="24">
        <f>SUM(C10:C16)</f>
        <v>162793.89575222798</v>
      </c>
      <c r="D9" s="24">
        <f>SUM(D10:D16)</f>
        <v>26760.745694728623</v>
      </c>
      <c r="E9" s="24">
        <f>SUM(E10:E16)</f>
        <v>8790.6146105700318</v>
      </c>
      <c r="F9" s="24">
        <f>SUM(F10:F16)</f>
        <v>8733.4992903855509</v>
      </c>
      <c r="G9" s="25">
        <f>SUM(G10:G16)</f>
        <v>136033.15005749936</v>
      </c>
      <c r="H9" s="22">
        <f t="shared" ref="H9:H26" si="0">IFERROR(IF(D9&gt;0,+D9/C9*100,0),0)</f>
        <v>16.438420845618456</v>
      </c>
      <c r="I9" s="22">
        <f t="shared" ref="I9:I26" si="1">IFERROR(IF(E9&gt;0,+E9/C9*100,0),0)</f>
        <v>5.3998428933412415</v>
      </c>
      <c r="J9" s="22">
        <f t="shared" ref="J9:J26" si="2">IFERROR(IF(F9&gt;0,+F9/C9*100,0),0)</f>
        <v>5.3647584573305629</v>
      </c>
      <c r="K9" s="22">
        <f t="shared" ref="K9:L24" si="3">IFERROR(IF(E9&gt;0,+E9/D9*100,0),0)</f>
        <v>32.848915014732277</v>
      </c>
      <c r="L9" s="22">
        <f t="shared" si="3"/>
        <v>99.350269318873288</v>
      </c>
      <c r="N9" s="26"/>
      <c r="O9" s="21"/>
    </row>
    <row r="10" spans="1:18" ht="11.45" customHeight="1" x14ac:dyDescent="0.2">
      <c r="A10" s="27"/>
      <c r="B10" s="28" t="s">
        <v>29</v>
      </c>
      <c r="C10" s="29">
        <f>+GETPIVOTDATA("Suma de Apropiacion Vigente",'[1]CUA2.TD'!$A$10,"Tipo","1Funcionamiento","Cuentas","A-Gastos de Personal")/1000000000</f>
        <v>31173.716978467</v>
      </c>
      <c r="D10" s="29">
        <f>+GETPIVOTDATA("Suma de Compromisos",'[1]CUA2.TD'!$A$10,"Tipo","1Funcionamiento","Cuentas","A-Gastos de Personal")/1000000000</f>
        <v>2541.7526575377501</v>
      </c>
      <c r="E10" s="29">
        <f>+GETPIVOTDATA("Suma de Obligación",'[1]CUA2.TD'!$A$10,"Tipo","1Funcionamiento","Cuentas","A-Gastos de Personal")/1000000000</f>
        <v>1921.1754539632998</v>
      </c>
      <c r="F10" s="29">
        <f>+GETPIVOTDATA("Suma de Pago",'[1]CUA2.TD'!$A$10,"Tipo","1Funcionamiento","Cuentas","A-Gastos de Personal")/1000000000</f>
        <v>1905.5704187786901</v>
      </c>
      <c r="G10" s="30">
        <f t="shared" ref="G10:G16" si="4">(((+C10-D10)))</f>
        <v>28631.964320929252</v>
      </c>
      <c r="H10" s="27">
        <f t="shared" si="0"/>
        <v>8.1535116883669847</v>
      </c>
      <c r="I10" s="27">
        <f t="shared" si="1"/>
        <v>6.1628052095627117</v>
      </c>
      <c r="J10" s="27">
        <f t="shared" si="2"/>
        <v>6.1127469018049654</v>
      </c>
      <c r="K10" s="27">
        <f t="shared" si="3"/>
        <v>75.584673759105385</v>
      </c>
      <c r="L10" s="27">
        <f t="shared" si="3"/>
        <v>99.187735032091041</v>
      </c>
      <c r="N10" s="20"/>
      <c r="O10" s="21"/>
    </row>
    <row r="11" spans="1:18" ht="11.45" customHeight="1" x14ac:dyDescent="0.2">
      <c r="A11" s="27"/>
      <c r="B11" s="28" t="s">
        <v>30</v>
      </c>
      <c r="C11" s="29">
        <f>+GETPIVOTDATA("Suma de Apropiacion Vigente",'[1]CUA2.TD'!$A$10,"Tipo","1Funcionamiento","Cuentas","B-Adquisiciones de Bienes y Servicios")/1000000000</f>
        <v>8030.6422656269997</v>
      </c>
      <c r="D11" s="29">
        <f>+GETPIVOTDATA("Suma de Compromisos",'[1]CUA2.TD'!$A$10,"Tipo","1Funcionamiento","Cuentas","B-Adquisiciones de Bienes y Servicios")/1000000000</f>
        <v>3346.8005251111395</v>
      </c>
      <c r="E11" s="29">
        <f>+GETPIVOTDATA("Suma de Obligación",'[1]CUA2.TD'!$A$10,"Tipo","1Funcionamiento","Cuentas","B-Adquisiciones de Bienes y Servicios")/1000000000</f>
        <v>136.91493212232996</v>
      </c>
      <c r="F11" s="29">
        <f>+GETPIVOTDATA("Suma de Pago",'[1]CUA2.TD'!$A$10,"Tipo","1Funcionamiento","Cuentas","B-Adquisiciones de Bienes y Servicios")/1000000000</f>
        <v>123.59004818382999</v>
      </c>
      <c r="G11" s="30">
        <f t="shared" si="4"/>
        <v>4683.8417405158598</v>
      </c>
      <c r="H11" s="27">
        <f t="shared" si="0"/>
        <v>41.675378063299092</v>
      </c>
      <c r="I11" s="27">
        <f t="shared" si="1"/>
        <v>1.7049063772689443</v>
      </c>
      <c r="J11" s="27">
        <f t="shared" si="2"/>
        <v>1.5389808697222622</v>
      </c>
      <c r="K11" s="27">
        <f t="shared" si="3"/>
        <v>4.0909200024038883</v>
      </c>
      <c r="L11" s="27">
        <f t="shared" si="3"/>
        <v>90.267764273808709</v>
      </c>
    </row>
    <row r="12" spans="1:18" ht="11.45" customHeight="1" x14ac:dyDescent="0.2">
      <c r="A12" s="27"/>
      <c r="B12" s="28" t="s">
        <v>31</v>
      </c>
      <c r="C12" s="29">
        <f>+GETPIVOTDATA("Suma de Apropiacion Vigente",'[1]CUA2.TD'!$A$10,"Tipo","1Funcionamiento","Cuentas","C-Transferencias")/1000000000</f>
        <v>122482.510804602</v>
      </c>
      <c r="D12" s="29">
        <f>+GETPIVOTDATA("Suma de Compromisos",'[1]CUA2.TD'!$A$10,"Tipo","1Funcionamiento","Cuentas","C-Transferencias")/1000000000</f>
        <v>20488.037435780632</v>
      </c>
      <c r="E12" s="29">
        <f>+GETPIVOTDATA("Suma de Obligación",'[1]CUA2.TD'!$A$10,"Tipo","1Funcionamiento","Cuentas","C-Transferencias")/1000000000</f>
        <v>6713.0146194016997</v>
      </c>
      <c r="F12" s="29">
        <f>+GETPIVOTDATA("Suma de Pago",'[1]CUA2.TD'!$A$10,"Tipo","1Funcionamiento","Cuentas","C-Transferencias")/1000000000</f>
        <v>6686.1618145836701</v>
      </c>
      <c r="G12" s="30">
        <f t="shared" si="4"/>
        <v>101994.47336882137</v>
      </c>
      <c r="H12" s="27">
        <f t="shared" si="0"/>
        <v>16.7273166603071</v>
      </c>
      <c r="I12" s="27">
        <f t="shared" si="1"/>
        <v>5.4807944214264701</v>
      </c>
      <c r="J12" s="27">
        <f t="shared" si="2"/>
        <v>5.4588706343962805</v>
      </c>
      <c r="K12" s="27">
        <f t="shared" si="3"/>
        <v>32.765532767321012</v>
      </c>
      <c r="L12" s="27">
        <f t="shared" si="3"/>
        <v>99.599988882186835</v>
      </c>
      <c r="N12" s="31"/>
    </row>
    <row r="13" spans="1:18" ht="11.45" customHeight="1" x14ac:dyDescent="0.2">
      <c r="A13" s="27"/>
      <c r="B13" s="28" t="s">
        <v>32</v>
      </c>
      <c r="C13" s="29">
        <f>+GETPIVOTDATA("Suma de Apropiacion Vigente",'[1]CUA2.TD'!$A$10,"Tipo","1Funcionamiento","Cuentas","D-Gastos de Comercialización y Producción")/1000000000</f>
        <v>84.631892171000004</v>
      </c>
      <c r="D13" s="29">
        <f>+GETPIVOTDATA("Suma de Compromisos",'[1]CUA2.TD'!$A$10,"Tipo","1Funcionamiento","Cuentas","D-Gastos de Comercialización y Producción")/1000000000</f>
        <v>28.533408227519999</v>
      </c>
      <c r="E13" s="29">
        <f>+GETPIVOTDATA("Suma de Obligación",'[1]CUA2.TD'!$A$10,"Tipo","1Funcionamiento","Cuentas","D-Gastos de Comercialización y Producción")/1000000000</f>
        <v>0.34217097200000002</v>
      </c>
      <c r="F13" s="29">
        <f>+GETPIVOTDATA("Suma de Pago",'[1]CUA2.TD'!$A$10,"Tipo","1Funcionamiento","Cuentas","D-Gastos de Comercialización y Producción")/1000000000</f>
        <v>0.18049610999999999</v>
      </c>
      <c r="G13" s="30">
        <f t="shared" si="4"/>
        <v>56.098483943480005</v>
      </c>
      <c r="H13" s="27">
        <f t="shared" si="0"/>
        <v>33.714723250979453</v>
      </c>
      <c r="I13" s="27">
        <f t="shared" si="1"/>
        <v>0.40430500042305378</v>
      </c>
      <c r="J13" s="27">
        <f t="shared" si="2"/>
        <v>0.21327197746601823</v>
      </c>
      <c r="K13" s="27">
        <f t="shared" si="3"/>
        <v>1.1991941841352893</v>
      </c>
      <c r="L13" s="27">
        <f t="shared" si="3"/>
        <v>52.750269534845287</v>
      </c>
      <c r="N13" s="31"/>
    </row>
    <row r="14" spans="1:18" ht="11.45" customHeight="1" x14ac:dyDescent="0.2">
      <c r="A14" s="27"/>
      <c r="B14" s="28" t="s">
        <v>33</v>
      </c>
      <c r="C14" s="29">
        <f>+GETPIVOTDATA("Suma de Apropiacion Vigente",'[1]CUA2.TD'!$A$10,"Tipo","1Funcionamiento","Cuentas","E-Adquisición de Activos Financieros")/1000000000</f>
        <v>320.00799999999998</v>
      </c>
      <c r="D14" s="29">
        <f>+GETPIVOTDATA("Suma de Compromisos",'[1]CUA2.TD'!$A$10,"Tipo","1Funcionamiento","Cuentas","E-Adquisición de Activos Financieros")/1000000000</f>
        <v>320.00799999999998</v>
      </c>
      <c r="E14" s="29">
        <f>+GETPIVOTDATA("Suma de Obligación",'[1]CUA2.TD'!$A$10,"Tipo","1Funcionamiento","Cuentas","E-Adquisición de Activos Financieros")/1000000000</f>
        <v>0</v>
      </c>
      <c r="F14" s="29">
        <f>+GETPIVOTDATA("Suma de Pago",'[1]CUA2.TD'!$A$10,"Tipo","1Funcionamiento","Cuentas","E-Adquisición de Activos Financieros")/1000000000</f>
        <v>0</v>
      </c>
      <c r="G14" s="30">
        <f t="shared" si="4"/>
        <v>0</v>
      </c>
      <c r="H14" s="27">
        <f t="shared" si="0"/>
        <v>100</v>
      </c>
      <c r="I14" s="27">
        <f t="shared" si="1"/>
        <v>0</v>
      </c>
      <c r="J14" s="27">
        <f t="shared" si="2"/>
        <v>0</v>
      </c>
      <c r="K14" s="27">
        <f t="shared" si="3"/>
        <v>0</v>
      </c>
      <c r="L14" s="27">
        <f t="shared" si="3"/>
        <v>0</v>
      </c>
      <c r="N14" s="32"/>
    </row>
    <row r="15" spans="1:18" ht="11.45" customHeight="1" x14ac:dyDescent="0.2">
      <c r="A15" s="27"/>
      <c r="B15" s="28" t="s">
        <v>34</v>
      </c>
      <c r="C15" s="29">
        <f>+GETPIVOTDATA("Suma de Apropiacion Vigente",'[1]CUA2.TD'!$A$10,"Tipo","1Funcionamiento","Cuentas","F-Disminución de Pasivos")/1000000000</f>
        <v>223.009483596</v>
      </c>
      <c r="D15" s="29">
        <f>+GETPIVOTDATA("Suma de Compromisos",'[1]CUA2.TD'!$A$10,"Tipo","1Funcionamiento","Cuentas","F-Disminución de Pasivos")/1000000000</f>
        <v>6.1343175935300005</v>
      </c>
      <c r="E15" s="29">
        <f>+GETPIVOTDATA("Suma de Obligación",'[1]CUA2.TD'!$A$10,"Tipo","1Funcionamiento","Cuentas","F-Disminución de Pasivos")/1000000000</f>
        <v>5.4240075315300009</v>
      </c>
      <c r="F15" s="29">
        <f>+GETPIVOTDATA("Suma de Pago",'[1]CUA2.TD'!$A$10,"Tipo","1Funcionamiento","Cuentas","F-Disminución de Pasivos")/1000000000</f>
        <v>5.255912104530001</v>
      </c>
      <c r="G15" s="30">
        <f t="shared" si="4"/>
        <v>216.87516600247</v>
      </c>
      <c r="H15" s="27">
        <f t="shared" si="0"/>
        <v>2.7506980845006668</v>
      </c>
      <c r="I15" s="27">
        <f t="shared" si="1"/>
        <v>2.4321869384514772</v>
      </c>
      <c r="J15" s="27">
        <f t="shared" si="2"/>
        <v>2.3568110287415029</v>
      </c>
      <c r="K15" s="27">
        <f t="shared" si="3"/>
        <v>88.420715895942863</v>
      </c>
      <c r="L15" s="27">
        <f t="shared" si="3"/>
        <v>96.900899823186933</v>
      </c>
      <c r="N15" s="32"/>
    </row>
    <row r="16" spans="1:18" s="39" customFormat="1" ht="23.25" customHeight="1" x14ac:dyDescent="0.25">
      <c r="A16" s="33"/>
      <c r="B16" s="34" t="s">
        <v>35</v>
      </c>
      <c r="C16" s="35">
        <f>+GETPIVOTDATA("Suma de Apropiacion Vigente",'[1]CUA2.TD'!$A$10,"Tipo","1Funcionamiento","Cuentas","G-Gastos por Tributos, Multas, Sanciones e Intereses de Mora")/1000000000</f>
        <v>479.37632776499998</v>
      </c>
      <c r="D16" s="36">
        <f>+GETPIVOTDATA("Suma de Compromisos",'[1]CUA2.TD'!$A$10,"Tipo","1Funcionamiento","Cuentas","G-Gastos por Tributos, Multas, Sanciones e Intereses de Mora")/1000000000</f>
        <v>29.479350478050002</v>
      </c>
      <c r="E16" s="37">
        <f>+GETPIVOTDATA("Suma de Obligación",'[1]CUA2.TD'!$A$10,"Tipo","1Funcionamiento","Cuentas","G-Gastos por Tributos, Multas, Sanciones e Intereses de Mora")/1000000000</f>
        <v>13.74342657917</v>
      </c>
      <c r="F16" s="37">
        <f>+GETPIVOTDATA("Suma de Pago",'[1]CUA2.TD'!$A$10,"Tipo","1Funcionamiento","Cuentas","G-Gastos por Tributos, Multas, Sanciones e Intereses de Mora")/1000000000</f>
        <v>12.740600624830002</v>
      </c>
      <c r="G16" s="38">
        <f t="shared" si="4"/>
        <v>449.89697728695</v>
      </c>
      <c r="H16" s="33">
        <f t="shared" si="0"/>
        <v>6.1495215284183526</v>
      </c>
      <c r="I16" s="33">
        <f t="shared" si="1"/>
        <v>2.8669389336027682</v>
      </c>
      <c r="J16" s="33">
        <f t="shared" si="2"/>
        <v>2.6577450505807421</v>
      </c>
      <c r="K16" s="33">
        <f t="shared" si="3"/>
        <v>46.620520317783814</v>
      </c>
      <c r="L16" s="33">
        <f t="shared" si="3"/>
        <v>92.703231988302576</v>
      </c>
      <c r="N16" s="40"/>
      <c r="P16" s="41"/>
      <c r="Q16" s="41"/>
      <c r="R16" s="41"/>
    </row>
    <row r="17" spans="1:15 16382:16382" ht="11.25" customHeight="1" x14ac:dyDescent="0.2">
      <c r="A17" s="22" t="s">
        <v>36</v>
      </c>
      <c r="B17" s="23" t="s">
        <v>37</v>
      </c>
      <c r="C17" s="24">
        <f>+C18+C22</f>
        <v>53612.535937252003</v>
      </c>
      <c r="D17" s="24">
        <f>+D18+D22</f>
        <v>4270.2382677336809</v>
      </c>
      <c r="E17" s="24">
        <f>+E18+E22</f>
        <v>3861.2426702738799</v>
      </c>
      <c r="F17" s="24">
        <f>+F18+F22</f>
        <v>895.68535957448</v>
      </c>
      <c r="G17" s="24">
        <f>+G18+G22</f>
        <v>49342.297669518317</v>
      </c>
      <c r="H17" s="22">
        <f t="shared" si="0"/>
        <v>7.9649995902666468</v>
      </c>
      <c r="I17" s="22">
        <f t="shared" si="1"/>
        <v>7.2021265227839066</v>
      </c>
      <c r="J17" s="22">
        <f t="shared" si="2"/>
        <v>1.6706640413779124</v>
      </c>
      <c r="K17" s="22">
        <f t="shared" si="3"/>
        <v>90.422183217498414</v>
      </c>
      <c r="L17" s="22">
        <f t="shared" si="3"/>
        <v>23.196816052769577</v>
      </c>
      <c r="N17" s="20"/>
    </row>
    <row r="18" spans="1:15 16382:16382" ht="11.25" customHeight="1" x14ac:dyDescent="0.2">
      <c r="A18" s="27"/>
      <c r="B18" s="42" t="s">
        <v>38</v>
      </c>
      <c r="C18" s="43">
        <f>+SUM(C19:C21)</f>
        <v>14284.975928438998</v>
      </c>
      <c r="D18" s="43">
        <f>+SUM(D19:D21)</f>
        <v>4270.1886875282808</v>
      </c>
      <c r="E18" s="43">
        <f>+SUM(E19:E21)</f>
        <v>3861.1930900684797</v>
      </c>
      <c r="F18" s="43">
        <f>+SUM(F19:F21)</f>
        <v>895.66290933148002</v>
      </c>
      <c r="G18" s="44">
        <f>+C18-D18</f>
        <v>10014.787240910719</v>
      </c>
      <c r="H18" s="45">
        <f t="shared" si="0"/>
        <v>29.892865825745279</v>
      </c>
      <c r="I18" s="45">
        <f t="shared" si="1"/>
        <v>27.029748663289588</v>
      </c>
      <c r="J18" s="45">
        <f t="shared" si="2"/>
        <v>6.2699644284899696</v>
      </c>
      <c r="K18" s="45">
        <f t="shared" si="3"/>
        <v>90.422072011610794</v>
      </c>
      <c r="L18" s="45">
        <f t="shared" si="3"/>
        <v>23.196532482026043</v>
      </c>
      <c r="N18" s="26"/>
    </row>
    <row r="19" spans="1:15 16382:16382" ht="11.25" customHeight="1" x14ac:dyDescent="0.2">
      <c r="A19" s="27"/>
      <c r="B19" s="46" t="s">
        <v>39</v>
      </c>
      <c r="C19" s="29">
        <f>+GETPIVOTDATA("Suma de Apropiacion Vigente",'[1]CUA2.TD'!$A$10,"Tipo","2Servicio de la Deuda","Cuentas","A-Servicio de la Deuda Pública Externa","Detalle Programas","A-Principal")/1000000000</f>
        <v>5643.6139346769996</v>
      </c>
      <c r="D19" s="29">
        <f>+GETPIVOTDATA("Suma de Compromisos",'[1]CUA2.TD'!$A$10,"Tipo","2Servicio de la Deuda","Cuentas","A-Servicio de la Deuda Pública Externa","Detalle Programas","A-Principal")/1000000000</f>
        <v>2843.9559481863198</v>
      </c>
      <c r="E19" s="29">
        <f>+GETPIVOTDATA("Suma de Obligación",'[1]CUA2.TD'!$A$10,"Tipo","2Servicio de la Deuda","Cuentas","A-Servicio de la Deuda Pública Externa","Detalle Programas","A-Principal")/1000000000</f>
        <v>2843.9559481863198</v>
      </c>
      <c r="F19" s="29">
        <f>+GETPIVOTDATA("Suma de Pago",'[1]CUA2.TD'!$A$10,"Tipo","2Servicio de la Deuda","Cuentas","A-Servicio de la Deuda Pública Externa","Detalle Programas","A-Principal")/1000000000</f>
        <v>67.196893723819997</v>
      </c>
      <c r="G19" s="30">
        <f>(((+C19-D19)))</f>
        <v>2799.6579864906798</v>
      </c>
      <c r="H19" s="27">
        <f t="shared" si="0"/>
        <v>50.392460949742258</v>
      </c>
      <c r="I19" s="27">
        <f t="shared" si="1"/>
        <v>50.392460949742258</v>
      </c>
      <c r="J19" s="27">
        <f t="shared" si="2"/>
        <v>1.1906713411229441</v>
      </c>
      <c r="K19" s="27">
        <f t="shared" si="3"/>
        <v>100</v>
      </c>
      <c r="L19" s="27">
        <f t="shared" si="3"/>
        <v>2.3627965744924273</v>
      </c>
      <c r="N19" s="20"/>
    </row>
    <row r="20" spans="1:15 16382:16382" ht="11.25" customHeight="1" x14ac:dyDescent="0.2">
      <c r="A20" s="27"/>
      <c r="B20" s="46" t="s">
        <v>40</v>
      </c>
      <c r="C20" s="29">
        <f>+GETPIVOTDATA("Suma de Apropiacion Vigente",'[1]CUA2.TD'!$A$10,"Tipo","2Servicio de la Deuda","Cuentas","A-Servicio de la Deuda Pública Externa","Detalle Programas","B-Intereses")/1000000000</f>
        <v>8526.1508022439994</v>
      </c>
      <c r="D20" s="29">
        <f>+GETPIVOTDATA("Suma de Compromisos",'[1]CUA2.TD'!$A$10,"Tipo","2Servicio de la Deuda","Cuentas","A-Servicio de la Deuda Pública Externa","Detalle Programas","B-Intereses")/1000000000</f>
        <v>1356.1654965329903</v>
      </c>
      <c r="E20" s="29">
        <f>+GETPIVOTDATA("Suma de Obligación",'[1]CUA2.TD'!$A$10,"Tipo","2Servicio de la Deuda","Cuentas","A-Servicio de la Deuda Pública Externa","Detalle Programas","B-Intereses")/1000000000</f>
        <v>968.65764109798999</v>
      </c>
      <c r="F20" s="29">
        <f>+GETPIVOTDATA("Suma de Pago",'[1]CUA2.TD'!$A$10,"Tipo","2Servicio de la Deuda","Cuentas","A-Servicio de la Deuda Pública Externa","Detalle Programas","B-Intereses")/1000000000</f>
        <v>779.88845303349001</v>
      </c>
      <c r="G20" s="30">
        <f>(((+C20-D20)))</f>
        <v>7169.9853057110086</v>
      </c>
      <c r="H20" s="27">
        <f>IFERROR(IF(D20&gt;0,+D20/C20*100,0),0)</f>
        <v>15.905952498237081</v>
      </c>
      <c r="I20" s="27">
        <f>IFERROR(IF(E20&gt;0,+E20/C20*100,0),0)</f>
        <v>11.36101933410618</v>
      </c>
      <c r="J20" s="27">
        <f>IFERROR(IF(F20&gt;0,+F20/C20*100,0),0)</f>
        <v>9.1470168792725435</v>
      </c>
      <c r="K20" s="27">
        <f t="shared" si="3"/>
        <v>71.426211887438782</v>
      </c>
      <c r="L20" s="27">
        <f t="shared" si="3"/>
        <v>80.51229040525331</v>
      </c>
      <c r="N20" s="47"/>
    </row>
    <row r="21" spans="1:15 16382:16382" ht="11.25" customHeight="1" x14ac:dyDescent="0.2">
      <c r="A21" s="27"/>
      <c r="B21" s="46" t="s">
        <v>41</v>
      </c>
      <c r="C21" s="29">
        <f>+GETPIVOTDATA("Suma de Apropiacion Vigente",'[1]CUA2.TD'!$A$10,"Tipo","2Servicio de la Deuda","Cuentas","A-Servicio de la Deuda Pública Externa","Detalle Programas","C-Comisiones Y Otros Gastos")/1000000000</f>
        <v>115.21119151800001</v>
      </c>
      <c r="D21" s="29">
        <f>+GETPIVOTDATA("Suma de Compromisos",'[1]CUA2.TD'!$A$10,"Tipo","2Servicio de la Deuda","Cuentas","A-Servicio de la Deuda Pública Externa","Detalle Programas","C-Comisiones Y Otros Gastos")/1000000000</f>
        <v>70.067242808970008</v>
      </c>
      <c r="E21" s="29">
        <f>+GETPIVOTDATA("Suma de Obligación",'[1]CUA2.TD'!$A$10,"Tipo","2Servicio de la Deuda","Cuentas","A-Servicio de la Deuda Pública Externa","Detalle Programas","C-Comisiones Y Otros Gastos")/1000000000</f>
        <v>48.579500784170001</v>
      </c>
      <c r="F21" s="29">
        <f>+GETPIVOTDATA("Suma de Pago",'[1]CUA2.TD'!$A$10,"Tipo","2Servicio de la Deuda","Cuentas","A-Servicio de la Deuda Pública Externa","Detalle Programas","C-Comisiones Y Otros Gastos")/1000000000</f>
        <v>48.577562574169995</v>
      </c>
      <c r="G21" s="30">
        <f>(((+C21-D21)))</f>
        <v>45.143948709029999</v>
      </c>
      <c r="H21" s="27">
        <f t="shared" si="0"/>
        <v>60.81635115979428</v>
      </c>
      <c r="I21" s="27">
        <f t="shared" si="1"/>
        <v>42.165609212174658</v>
      </c>
      <c r="J21" s="27">
        <f t="shared" si="2"/>
        <v>42.16392690165042</v>
      </c>
      <c r="K21" s="27">
        <f t="shared" si="3"/>
        <v>69.332685056005744</v>
      </c>
      <c r="L21" s="27">
        <f t="shared" si="3"/>
        <v>99.996010230717232</v>
      </c>
      <c r="N21" s="47"/>
    </row>
    <row r="22" spans="1:15 16382:16382" ht="11.25" customHeight="1" x14ac:dyDescent="0.2">
      <c r="A22" s="27"/>
      <c r="B22" s="42" t="s">
        <v>42</v>
      </c>
      <c r="C22" s="43">
        <f>SUM(C23:C26)</f>
        <v>39327.560008813001</v>
      </c>
      <c r="D22" s="43">
        <f>SUM(D23:D26)</f>
        <v>4.9580205400000001E-2</v>
      </c>
      <c r="E22" s="43">
        <f>SUM(E23:E26)</f>
        <v>4.9580205400000001E-2</v>
      </c>
      <c r="F22" s="43">
        <f>SUM(F23:F26)</f>
        <v>2.2450243000000002E-2</v>
      </c>
      <c r="G22" s="44">
        <f>((+C22-D22))</f>
        <v>39327.510428607602</v>
      </c>
      <c r="H22" s="27">
        <f t="shared" si="0"/>
        <v>1.260698741261585E-4</v>
      </c>
      <c r="I22" s="27">
        <f t="shared" si="1"/>
        <v>1.260698741261585E-4</v>
      </c>
      <c r="J22" s="27">
        <f t="shared" si="2"/>
        <v>5.708526792653568E-5</v>
      </c>
      <c r="K22" s="27">
        <f t="shared" si="3"/>
        <v>100</v>
      </c>
      <c r="L22" s="27">
        <f t="shared" si="3"/>
        <v>45.28065751014416</v>
      </c>
    </row>
    <row r="23" spans="1:15 16382:16382" ht="11.25" customHeight="1" x14ac:dyDescent="0.2">
      <c r="A23" s="27"/>
      <c r="B23" s="46" t="s">
        <v>39</v>
      </c>
      <c r="C23" s="29">
        <f>+GETPIVOTDATA("Suma de Apropiacion Vigente",'[1]CUA2.TD'!$A$10,"Tipo","2Servicio de la Deuda","Cuentas","B-Servicio de la Deuda Pública Interna","Detalle Programas","A-Principal")/1000000000</f>
        <v>10031.834008813001</v>
      </c>
      <c r="D23" s="29">
        <f>+GETPIVOTDATA("Suma de Compromisos",'[1]CUA2.TD'!$A$10,"Tipo","2Servicio de la Deuda","Cuentas","B-Servicio de la Deuda Pública Interna","Detalle Programas","A-Principal")/1000000000</f>
        <v>4.3916999999999998E-2</v>
      </c>
      <c r="E23" s="29">
        <f>+GETPIVOTDATA("Suma de Obligación",'[1]CUA2.TD'!$A$10,"Tipo","2Servicio de la Deuda","Cuentas","B-Servicio de la Deuda Pública Interna","Detalle Programas","A-Principal")/1000000000</f>
        <v>4.3916999999999998E-2</v>
      </c>
      <c r="F23" s="29">
        <f>+GETPIVOTDATA("Suma de Pago",'[1]CUA2.TD'!$A$10,"Tipo","2Servicio de la Deuda","Cuentas","B-Servicio de la Deuda Pública Interna","Detalle Programas","A-Principal")/1000000000</f>
        <v>2.0226000000000001E-2</v>
      </c>
      <c r="G23" s="30">
        <f>((+C23-D23))</f>
        <v>10031.790091813</v>
      </c>
      <c r="H23" s="27">
        <f t="shared" si="0"/>
        <v>4.3777638227884114E-4</v>
      </c>
      <c r="I23" s="27">
        <f t="shared" si="1"/>
        <v>4.3777638227884114E-4</v>
      </c>
      <c r="J23" s="27">
        <f t="shared" si="2"/>
        <v>2.0161816854456912E-4</v>
      </c>
      <c r="K23" s="27">
        <f t="shared" si="3"/>
        <v>100</v>
      </c>
      <c r="L23" s="27">
        <f t="shared" si="3"/>
        <v>46.055058405628806</v>
      </c>
    </row>
    <row r="24" spans="1:15 16382:16382" ht="11.25" customHeight="1" x14ac:dyDescent="0.2">
      <c r="A24" s="27"/>
      <c r="B24" s="46" t="s">
        <v>40</v>
      </c>
      <c r="C24" s="29">
        <f>+GETPIVOTDATA("Suma de Apropiacion Vigente",'[1]CUA2.TD'!$A$10,"Tipo","2Servicio de la Deuda","Cuentas","B-Servicio de la Deuda Pública Interna","Detalle Programas","B-Intereses")/1000000000</f>
        <v>28376.367667267001</v>
      </c>
      <c r="D24" s="29">
        <f>+GETPIVOTDATA("Suma de Compromisos",'[1]CUA2.TD'!$A$10,"Tipo","2Servicio de la Deuda","Cuentas","B-Servicio de la Deuda Pública Interna","Detalle Programas","B-Intereses")/1000000000</f>
        <v>5.6632054000000003E-3</v>
      </c>
      <c r="E24" s="29">
        <f>+GETPIVOTDATA("Suma de Obligación",'[1]CUA2.TD'!$A$10,"Tipo","2Servicio de la Deuda","Cuentas","B-Servicio de la Deuda Pública Interna","Detalle Programas","B-Intereses")/1000000000</f>
        <v>5.6632054000000003E-3</v>
      </c>
      <c r="F24" s="29">
        <f>+GETPIVOTDATA("Suma de Pago",'[1]CUA2.TD'!$A$10,"Tipo","2Servicio de la Deuda","Cuentas","B-Servicio de la Deuda Pública Interna","Detalle Programas","B-Intereses")/1000000000</f>
        <v>2.2242429999999999E-3</v>
      </c>
      <c r="G24" s="30">
        <f>(((+C24-D24)))</f>
        <v>28376.362004061601</v>
      </c>
      <c r="H24" s="27">
        <f>IFERROR(IF(D24&gt;0,+D24/C24*100,0),0)</f>
        <v>1.9957471183081263E-5</v>
      </c>
      <c r="I24" s="27">
        <f>IFERROR(IF(E24&gt;0,+E24/C24*100,0),0)</f>
        <v>1.9957471183081263E-5</v>
      </c>
      <c r="J24" s="27">
        <f>IFERROR(IF(F24&gt;0,+F24/C24*100,0),0)</f>
        <v>7.8383640432095588E-6</v>
      </c>
      <c r="K24" s="27">
        <f t="shared" si="3"/>
        <v>100</v>
      </c>
      <c r="L24" s="27">
        <f t="shared" si="3"/>
        <v>39.275336896662793</v>
      </c>
    </row>
    <row r="25" spans="1:15 16382:16382" ht="11.25" customHeight="1" x14ac:dyDescent="0.2">
      <c r="A25" s="27"/>
      <c r="B25" s="46" t="s">
        <v>41</v>
      </c>
      <c r="C25" s="29">
        <f>+GETPIVOTDATA("Suma de Apropiacion Vigente",'[1]CUA2.TD'!$A$10,"Tipo","2Servicio de la Deuda","Cuentas","B-Servicio de la Deuda Pública Interna","Detalle Programas","C-Comisiones Y Otros Gastos")/1000000000</f>
        <v>146.358332733</v>
      </c>
      <c r="D25" s="29">
        <f>+GETPIVOTDATA("Suma de Compromisos",'[1]CUA2.TD'!$A$10,"Tipo","2Servicio de la Deuda","Cuentas","B-Servicio de la Deuda Pública Interna","Detalle Programas","C-Comisiones Y Otros Gastos")/1000000000</f>
        <v>0</v>
      </c>
      <c r="E25" s="29">
        <f>+GETPIVOTDATA("Suma de Obligación",'[1]CUA2.TD'!$A$10,"Tipo","2Servicio de la Deuda","Cuentas","B-Servicio de la Deuda Pública Interna","Detalle Programas","C-Comisiones Y Otros Gastos")/1000000000</f>
        <v>0</v>
      </c>
      <c r="F25" s="29">
        <f>+GETPIVOTDATA("Suma de Pago",'[1]CUA2.TD'!$A$10,"Tipo","2Servicio de la Deuda","Cuentas","B-Servicio de la Deuda Pública Interna","Detalle Programas","C-Comisiones Y Otros Gastos")/1000000000</f>
        <v>0</v>
      </c>
      <c r="G25" s="30">
        <f>(((+C25-D25)))</f>
        <v>146.358332733</v>
      </c>
      <c r="H25" s="27">
        <f>IFERROR(IF(D25&gt;0,+D25/C25*100,0),0)</f>
        <v>0</v>
      </c>
      <c r="I25" s="27">
        <f>IFERROR(IF(E25&gt;0,+E25/C25*100,0),0)</f>
        <v>0</v>
      </c>
      <c r="J25" s="27">
        <f>IFERROR(IF(F25&gt;0,+F25/C25*100,0),0)</f>
        <v>0</v>
      </c>
      <c r="K25" s="27">
        <f t="shared" ref="K25:L34" si="5">IFERROR(IF(E25&gt;0,+E25/D25*100,0),0)</f>
        <v>0</v>
      </c>
      <c r="L25" s="27">
        <f t="shared" si="5"/>
        <v>0</v>
      </c>
      <c r="N25" s="32"/>
      <c r="O25" s="26"/>
    </row>
    <row r="26" spans="1:15 16382:16382" ht="11.25" customHeight="1" x14ac:dyDescent="0.2">
      <c r="A26" s="27"/>
      <c r="B26" s="46" t="s">
        <v>43</v>
      </c>
      <c r="C26" s="29">
        <f>+GETPIVOTDATA("Suma de Apropiacion Vigente",'[1]CUA2.TD'!$A$10,"Tipo","2Servicio de la Deuda","Cuentas","B-Servicio de la Deuda Pública Interna","Detalle Programas","D-Fondo de Contigencias")/1000000000</f>
        <v>773</v>
      </c>
      <c r="D26" s="29">
        <f>+GETPIVOTDATA("Suma de Compromisos",'[1]CUA2.TD'!$A$10,"Tipo","2Servicio de la Deuda","Cuentas","B-Servicio de la Deuda Pública Interna","Detalle Programas","D-Fondo de Contigencias")/1000000000</f>
        <v>0</v>
      </c>
      <c r="E26" s="29">
        <f>+GETPIVOTDATA("Suma de Obligación",'[1]CUA2.TD'!$A$10,"Tipo","2Servicio de la Deuda","Cuentas","B-Servicio de la Deuda Pública Interna","Detalle Programas","D-Fondo de Contigencias")/1000000000</f>
        <v>0</v>
      </c>
      <c r="F26" s="29">
        <f>+GETPIVOTDATA("Suma de Pago",'[1]CUA2.TD'!$A$10,"Tipo","2Servicio de la Deuda","Cuentas","B-Servicio de la Deuda Pública Interna","Detalle Programas","D-Fondo de Contigencias")/1000000000</f>
        <v>0</v>
      </c>
      <c r="G26" s="30">
        <f>((+C26-D26))</f>
        <v>773</v>
      </c>
      <c r="H26" s="27">
        <f t="shared" si="0"/>
        <v>0</v>
      </c>
      <c r="I26" s="27">
        <f t="shared" si="1"/>
        <v>0</v>
      </c>
      <c r="J26" s="27">
        <f t="shared" si="2"/>
        <v>0</v>
      </c>
      <c r="K26" s="27">
        <f t="shared" si="5"/>
        <v>0</v>
      </c>
      <c r="L26" s="27">
        <f t="shared" si="5"/>
        <v>0</v>
      </c>
    </row>
    <row r="27" spans="1:15 16382:16382" ht="11.25" customHeight="1" x14ac:dyDescent="0.2">
      <c r="A27" s="22" t="s">
        <v>44</v>
      </c>
      <c r="B27" s="22" t="s">
        <v>45</v>
      </c>
      <c r="C27" s="24">
        <f>+GETPIVOTDATA("Suma de Apropiacion Vigente",'[1]CUA2.TD'!$A$10,"Tipo","3Inversión","Cuentas","A-Inversión")/1000000000</f>
        <v>38835.247336489003</v>
      </c>
      <c r="D27" s="24">
        <f>+GETPIVOTDATA("Suma de Compromisos",'[1]CUA2.TD'!$A$10,"Tipo","3Inversión","Cuentas","A-Inversión")/1000000000</f>
        <v>11831.371606337751</v>
      </c>
      <c r="E27" s="24">
        <f>+GETPIVOTDATA("Suma de Obligación",'[1]CUA2.TD'!$A$10,"Tipo","3Inversión","Cuentas","A-Inversión")/1000000000</f>
        <v>505.26928793794002</v>
      </c>
      <c r="F27" s="24">
        <f>+GETPIVOTDATA("Suma de Pago",'[1]CUA2.TD'!$A$10,"Tipo","3Inversión","Cuentas","A-Inversión")/1000000000</f>
        <v>500.01360756123</v>
      </c>
      <c r="G27" s="25">
        <f>((+C27-D27))</f>
        <v>27003.875730151252</v>
      </c>
      <c r="H27" s="22">
        <f>IFERROR(IF(D27&gt;0,+D27/C27*100,0),0)</f>
        <v>30.465549771898004</v>
      </c>
      <c r="I27" s="22">
        <f>IFERROR(IF(E27&gt;0,+E27/C27*100,0),0)</f>
        <v>1.3010585037865763</v>
      </c>
      <c r="J27" s="22">
        <f>IFERROR(IF(F27&gt;0,+F27/C27*100,0),0)</f>
        <v>1.2875252299254056</v>
      </c>
      <c r="K27" s="22">
        <f t="shared" si="5"/>
        <v>4.2705892837249797</v>
      </c>
      <c r="L27" s="22">
        <f t="shared" si="5"/>
        <v>98.95982587856092</v>
      </c>
      <c r="XFB27" s="26"/>
    </row>
    <row r="28" spans="1:15 16382:16382" ht="11.25" customHeight="1" x14ac:dyDescent="0.2">
      <c r="A28" s="48" t="s">
        <v>46</v>
      </c>
      <c r="B28" s="48" t="s">
        <v>47</v>
      </c>
      <c r="C28" s="49">
        <f>+C9+C17+C27</f>
        <v>255241.67902596897</v>
      </c>
      <c r="D28" s="50">
        <f>+D9+D17+D27</f>
        <v>42862.355568800056</v>
      </c>
      <c r="E28" s="49">
        <f>+E9+E17+E27</f>
        <v>13157.12656878185</v>
      </c>
      <c r="F28" s="51">
        <f>+F9+F17+F27</f>
        <v>10129.198257521261</v>
      </c>
      <c r="G28" s="52">
        <f>+G9+G17+G27</f>
        <v>212379.32345716894</v>
      </c>
      <c r="H28" s="48">
        <f>IFERROR(IF(D28&gt;0,+D28/C28*100,0),0)</f>
        <v>16.792851282113343</v>
      </c>
      <c r="I28" s="48">
        <f>IFERROR(IF(E28&gt;0,+E28/C28*100,0),0)</f>
        <v>5.1547719866876482</v>
      </c>
      <c r="J28" s="48">
        <f>IFERROR(IF(F28&gt;0,+F28/C28*100,0),0)</f>
        <v>3.9684734468819602</v>
      </c>
      <c r="K28" s="48">
        <f t="shared" si="5"/>
        <v>30.696228413445052</v>
      </c>
      <c r="L28" s="48">
        <f t="shared" si="5"/>
        <v>76.98640128274657</v>
      </c>
      <c r="N28" s="53"/>
      <c r="O28" s="47"/>
    </row>
    <row r="29" spans="1:15 16382:16382" ht="11.25" customHeight="1" x14ac:dyDescent="0.2">
      <c r="A29" s="54" t="s">
        <v>48</v>
      </c>
      <c r="B29" s="54" t="s">
        <v>49</v>
      </c>
      <c r="C29" s="55">
        <f>+C28-C17</f>
        <v>201629.14308871696</v>
      </c>
      <c r="D29" s="55">
        <f>+D28-D17</f>
        <v>38592.117301066377</v>
      </c>
      <c r="E29" s="55">
        <f>+E28-E17</f>
        <v>9295.883898507971</v>
      </c>
      <c r="F29" s="55">
        <f>+F28-F17</f>
        <v>9233.5128979467809</v>
      </c>
      <c r="G29" s="56">
        <f>+G28-G17</f>
        <v>163037.02578765061</v>
      </c>
      <c r="H29" s="54">
        <f>IFERROR(IF(D29&gt;0,+D29/C29*100,0),0)</f>
        <v>19.140148447730009</v>
      </c>
      <c r="I29" s="54">
        <f>IFERROR(IF(E29&gt;0,+E29/C29*100,0),0)</f>
        <v>4.6103870482739566</v>
      </c>
      <c r="J29" s="54">
        <f>IFERROR(IF(F29&gt;0,+F29/C29*100,0),0)</f>
        <v>4.5794535236823526</v>
      </c>
      <c r="K29" s="54">
        <f t="shared" si="5"/>
        <v>24.087519806152503</v>
      </c>
      <c r="L29" s="54">
        <f t="shared" si="5"/>
        <v>99.329047121907351</v>
      </c>
    </row>
    <row r="30" spans="1:15 16382:16382" x14ac:dyDescent="0.2">
      <c r="A30" s="57" t="s">
        <v>50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N30" s="26"/>
      <c r="XFB30" s="32"/>
    </row>
    <row r="31" spans="1:15 16382:16382" x14ac:dyDescent="0.2">
      <c r="C31" s="47"/>
    </row>
    <row r="32" spans="1:15 16382:16382" x14ac:dyDescent="0.2">
      <c r="C32" s="47"/>
    </row>
    <row r="33" spans="1:12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x14ac:dyDescent="0.2"/>
  </sheetData>
  <mergeCells count="13">
    <mergeCell ref="H6:L6"/>
    <mergeCell ref="P16:R16"/>
    <mergeCell ref="A33:L33"/>
    <mergeCell ref="A1:L1"/>
    <mergeCell ref="A2:L2"/>
    <mergeCell ref="A3:L3"/>
    <mergeCell ref="A4:L4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CUA2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2020-02-17T21:10:35Z</dcterms:created>
  <dcterms:modified xsi:type="dcterms:W3CDTF">2020-02-17T21:11:29Z</dcterms:modified>
</cp:coreProperties>
</file>